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</sheets>
  <definedNames>
    <definedName function="false" hidden="false" name="airdensity" vbProcedure="false">Sheet1!$G$9</definedName>
    <definedName function="false" hidden="false" name="alpha" vbProcedure="false">Sheet1!$F$9</definedName>
    <definedName function="false" hidden="false" name="annualsolarkwh" vbProcedure="false">Sheet1!$F$3</definedName>
    <definedName function="false" hidden="false" name="annualsolarkwh90" vbProcedure="false">Sheet1!$G$64</definedName>
    <definedName function="false" hidden="false" name="annualwindkwh" vbProcedure="false">Sheet1!$F$2</definedName>
    <definedName function="false" hidden="false" name="beta" vbProcedure="false">Sheet1!$H$9</definedName>
    <definedName function="false" hidden="false" name="Cpmax" vbProcedure="false">Sheet1!$D$9</definedName>
    <definedName function="false" hidden="false" name="nturbines" vbProcedure="false">Sheet1!$C$3</definedName>
    <definedName function="false" hidden="false" name="peakpv" vbProcedure="false">Sheet1!$C$5</definedName>
    <definedName function="false" hidden="false" name="perturbineannualmw" vbProcedure="false">Sheet1!$H$47</definedName>
    <definedName function="false" hidden="false" name="prated" vbProcedure="false">Sheet1!$I$9</definedName>
    <definedName function="false" hidden="false" name="pvout" vbProcedure="false">Sheet1!$C$4</definedName>
    <definedName function="false" hidden="false" name="sweptarea" vbProcedure="false">Sheet1!$C$9</definedName>
    <definedName function="false" hidden="false" name="vmean" vbProcedure="false">Sheet1!$E$9</definedName>
    <definedName function="false" hidden="false" name="vrated" vbProcedure="false">Sheet1!$B$9</definedName>
    <definedName function="false" hidden="false" name="vstart" vbProcedure="false">Sheet1!$A$9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<sst xmlns="http://schemas.openxmlformats.org/spreadsheetml/2006/main" count="76" uniqueCount="71">
  <si>
    <t xml:space="preserve">INPUT NAME</t>
  </si>
  <si>
    <t xml:space="preserve">INPUT UNITS</t>
  </si>
  <si>
    <t xml:space="preserve">INPUT VALUE</t>
  </si>
  <si>
    <t xml:space="preserve">OUTPUT NAME</t>
  </si>
  <si>
    <t xml:space="preserve">OUTPUT UNITS</t>
  </si>
  <si>
    <t xml:space="preserve">OUTPUT VALUE</t>
  </si>
  <si>
    <t xml:space="preserve">Site Annual Mean Windspeed</t>
  </si>
  <si>
    <t xml:space="preserve">m/s</t>
  </si>
  <si>
    <t xml:space="preserve">Wind Farm Annual Wind Energy Harvest</t>
  </si>
  <si>
    <t xml:space="preserve">kWh</t>
  </si>
  <si>
    <t xml:space="preserve">Number of Turbines</t>
  </si>
  <si>
    <t xml:space="preserve">Solar Array Annual Energy Harvest</t>
  </si>
  <si>
    <t xml:space="preserve">Site Specific Photovoltaic Power Output (PVOUT)</t>
  </si>
  <si>
    <t xml:space="preserve">kWh/kWpeak</t>
  </si>
  <si>
    <t xml:space="preserve">Total Wind+Solar Annual Energy Harvest</t>
  </si>
  <si>
    <t xml:space="preserve">Peak Solar Array Power</t>
  </si>
  <si>
    <t xml:space="preserve">kW</t>
  </si>
  <si>
    <t xml:space="preserve">Av cost of Solar+wind energy</t>
  </si>
  <si>
    <t xml:space="preserve">Euros/kWh</t>
  </si>
  <si>
    <t xml:space="preserve">Capital Cost 30 years Wind</t>
  </si>
  <si>
    <t xml:space="preserve">k Euro</t>
  </si>
  <si>
    <t xml:space="preserve">Av cost of wind energy</t>
  </si>
  <si>
    <t xml:space="preserve">Capital Cost 30 years Solar</t>
  </si>
  <si>
    <t xml:space="preserve">Av cost of solar energy</t>
  </si>
  <si>
    <t xml:space="preserve">Wind_vstart m/s</t>
  </si>
  <si>
    <t xml:space="preserve">Wind_vrated m/s</t>
  </si>
  <si>
    <t xml:space="preserve"> Area m^2</t>
  </si>
  <si>
    <t xml:space="preserve">Efficiency_Cpmax</t>
  </si>
  <si>
    <t xml:space="preserve">Wind_vmean m/s</t>
  </si>
  <si>
    <t xml:space="preserve">Weibull shape factor k</t>
  </si>
  <si>
    <t xml:space="preserve">AirDensity Kg/m^3</t>
  </si>
  <si>
    <t xml:space="preserve">Weibull beta</t>
  </si>
  <si>
    <t xml:space="preserve">Rated Power W</t>
  </si>
  <si>
    <t xml:space="preserve">Wind_v m/s</t>
  </si>
  <si>
    <t xml:space="preserve">Wind_PowerD W/m^2</t>
  </si>
  <si>
    <t xml:space="preserve">Harvested_Power W</t>
  </si>
  <si>
    <t xml:space="preserve">Efficiency_Cp</t>
  </si>
  <si>
    <t xml:space="preserve">CumulativeProbability</t>
  </si>
  <si>
    <t xml:space="preserve">CumulativeAnnualEnergyDensity W/m^2</t>
  </si>
  <si>
    <t xml:space="preserve">WeibullProbabilityDensity</t>
  </si>
  <si>
    <t xml:space="preserve">CumulativeAnnualHarvested MWhr</t>
  </si>
  <si>
    <t xml:space="preserve">Annual mean energy density W/m^2</t>
  </si>
  <si>
    <t xml:space="preserve">Cumulative probability of all windspeeds.</t>
  </si>
  <si>
    <t xml:space="preserve">Per turbine Rating Restricted Annual Harvest MWhr</t>
  </si>
  <si>
    <t xml:space="preserve">Totals/rowsper1m/s</t>
  </si>
  <si>
    <t xml:space="preserve">Capacity Factor CF</t>
  </si>
  <si>
    <t xml:space="preserve">Wind</t>
  </si>
  <si>
    <t xml:space="preserve">Solar</t>
  </si>
  <si>
    <t xml:space="preserve">Month </t>
  </si>
  <si>
    <t xml:space="preserve">Month number</t>
  </si>
  <si>
    <t xml:space="preserve">WindIndex</t>
  </si>
  <si>
    <t xml:space="preserve">WindMean*WindIndex</t>
  </si>
  <si>
    <t xml:space="preserve">MonthFraction</t>
  </si>
  <si>
    <t xml:space="preserve">Wind Month kWh</t>
  </si>
  <si>
    <t xml:space="preserve">Solar Month kWh at 90kWp</t>
  </si>
  <si>
    <t xml:space="preserve">SolarIndex</t>
  </si>
  <si>
    <t xml:space="preserve">Solar Month kWhr at C5</t>
  </si>
  <si>
    <t xml:space="preserve">Wind and Solar Month kWh</t>
  </si>
  <si>
    <t xml:space="preserve">Jan</t>
  </si>
  <si>
    <t xml:space="preserve">Feb</t>
  </si>
  <si>
    <t xml:space="preserve">Mar</t>
  </si>
  <si>
    <t xml:space="preserve">Apr</t>
  </si>
  <si>
    <t xml:space="preserve">May</t>
  </si>
  <si>
    <t xml:space="preserve">Jun</t>
  </si>
  <si>
    <t xml:space="preserve">Jul</t>
  </si>
  <si>
    <t xml:space="preserve">Aug</t>
  </si>
  <si>
    <t xml:space="preserve">Sep</t>
  </si>
  <si>
    <t xml:space="preserve">Oct</t>
  </si>
  <si>
    <t xml:space="preserve">Nov</t>
  </si>
  <si>
    <t xml:space="preserve">Dec</t>
  </si>
  <si>
    <t xml:space="preserve">Reverse Engineered PVOUT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</si>
</sst>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"/>
    <numFmt numFmtId="166" formatCode="0.000"/>
    <numFmt numFmtId="167" formatCode="#,##0.00"/>
    <numFmt numFmtId="168" formatCode="0.00"/>
  </numFmts>
  <fonts count="5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3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99FF99"/>
        <bgColor rgb="FF66FF66"/>
      </patternFill>
    </fill>
    <fill>
      <patternFill patternType="solid">
        <fgColor rgb="FF66FF66"/>
        <bgColor rgb="FF99FF99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99FF99"/>
      <rgbColor rgb="FFFFFF99"/>
      <rgbColor rgb="FF99CCFF"/>
      <rgbColor rgb="FFFF99CC"/>
      <rgbColor rgb="FFCC99FF"/>
      <rgbColor rgb="FFFFCC99"/>
      <rgbColor rgb="FF3366FF"/>
      <rgbColor rgb="FF66FF66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Wind Energy by Month kWh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Sheet1!$F$50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Sheet1!$F$52:$F$63</c:f>
              <c:numCache>
                <c:formatCode>General</c:formatCode>
                <c:ptCount val="12"/>
                <c:pt idx="0">
                  <c:v>358.989238778632</c:v>
                </c:pt>
                <c:pt idx="1">
                  <c:v>382.142919403773</c:v>
                </c:pt>
                <c:pt idx="2">
                  <c:v>527.450709386567</c:v>
                </c:pt>
                <c:pt idx="3">
                  <c:v>431.394630940794</c:v>
                </c:pt>
                <c:pt idx="4">
                  <c:v>382.142919403774</c:v>
                </c:pt>
                <c:pt idx="5">
                  <c:v>266.321340440976</c:v>
                </c:pt>
                <c:pt idx="6">
                  <c:v>239.411435921875</c:v>
                </c:pt>
                <c:pt idx="7">
                  <c:v>266.321340440976</c:v>
                </c:pt>
                <c:pt idx="8">
                  <c:v>418.707378660017</c:v>
                </c:pt>
                <c:pt idx="9">
                  <c:v>527.450709386567</c:v>
                </c:pt>
                <c:pt idx="10">
                  <c:v>741.765662446318</c:v>
                </c:pt>
                <c:pt idx="11">
                  <c:v>653.558672520906</c:v>
                </c:pt>
              </c:numCache>
            </c:numRef>
          </c:val>
        </c:ser>
        <c:gapWidth val="100"/>
        <c:overlap val="0"/>
        <c:axId val="21370416"/>
        <c:axId val="34266961"/>
      </c:barChart>
      <c:catAx>
        <c:axId val="21370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4266961"/>
        <c:crosses val="autoZero"/>
        <c:auto val="1"/>
        <c:lblAlgn val="ctr"/>
        <c:lblOffset val="100"/>
        <c:noMultiLvlLbl val="0"/>
      </c:catAx>
      <c:valAx>
        <c:axId val="34266961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1370416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Solar Energy by Month kWh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Sheet1!$I$50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Sheet1!$I$52:$I$63</c:f>
              <c:numCache>
                <c:formatCode>General</c:formatCode>
                <c:ptCount val="12"/>
                <c:pt idx="0">
                  <c:v>59.8877918014814</c:v>
                </c:pt>
                <c:pt idx="1">
                  <c:v>214.75836965532</c:v>
                </c:pt>
                <c:pt idx="2">
                  <c:v>587.006210391208</c:v>
                </c:pt>
                <c:pt idx="3">
                  <c:v>766.35020857288</c:v>
                </c:pt>
                <c:pt idx="4">
                  <c:v>863.258383025377</c:v>
                </c:pt>
                <c:pt idx="5">
                  <c:v>819.640579458245</c:v>
                </c:pt>
                <c:pt idx="6">
                  <c:v>794.428028986282</c:v>
                </c:pt>
                <c:pt idx="7">
                  <c:v>671.50429847314</c:v>
                </c:pt>
                <c:pt idx="8">
                  <c:v>406.028825841645</c:v>
                </c:pt>
                <c:pt idx="9">
                  <c:v>206.199060085034</c:v>
                </c:pt>
                <c:pt idx="10">
                  <c:v>53.0257440436399</c:v>
                </c:pt>
                <c:pt idx="11">
                  <c:v>17.9124996657486</c:v>
                </c:pt>
              </c:numCache>
            </c:numRef>
          </c:val>
        </c:ser>
        <c:gapWidth val="100"/>
        <c:overlap val="0"/>
        <c:axId val="81909070"/>
        <c:axId val="49501703"/>
      </c:barChart>
      <c:catAx>
        <c:axId val="8190907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9501703"/>
        <c:crosses val="autoZero"/>
        <c:auto val="1"/>
        <c:lblAlgn val="ctr"/>
        <c:lblOffset val="100"/>
        <c:noMultiLvlLbl val="0"/>
      </c:catAx>
      <c:valAx>
        <c:axId val="49501703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1909070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Wind and Solar Energy by Month kWh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stacked"/>
        <c:varyColors val="0"/>
        <c:ser>
          <c:idx val="0"/>
          <c:order val="0"/>
          <c:tx>
            <c:strRef>
              <c:f>Sheet1!$I$50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Pt>
            <c:idx val="4"/>
            <c:invertIfNegative val="0"/>
            <c:spPr>
              <a:solidFill>
                <a:srgbClr val="ff420e"/>
              </a:solidFill>
              <a:ln w="0">
                <a:noFill/>
              </a:ln>
            </c:spPr>
          </c:dPt>
          <c:dLbls>
            <c:dLbl>
              <c:idx val="4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Sheet1!$I$52:$I$63</c:f>
              <c:numCache>
                <c:formatCode>General</c:formatCode>
                <c:ptCount val="12"/>
                <c:pt idx="0">
                  <c:v>59.8877918014814</c:v>
                </c:pt>
                <c:pt idx="1">
                  <c:v>214.75836965532</c:v>
                </c:pt>
                <c:pt idx="2">
                  <c:v>587.006210391208</c:v>
                </c:pt>
                <c:pt idx="3">
                  <c:v>766.35020857288</c:v>
                </c:pt>
                <c:pt idx="4">
                  <c:v>863.258383025377</c:v>
                </c:pt>
                <c:pt idx="5">
                  <c:v>819.640579458245</c:v>
                </c:pt>
                <c:pt idx="6">
                  <c:v>794.428028986282</c:v>
                </c:pt>
                <c:pt idx="7">
                  <c:v>671.50429847314</c:v>
                </c:pt>
                <c:pt idx="8">
                  <c:v>406.028825841645</c:v>
                </c:pt>
                <c:pt idx="9">
                  <c:v>206.199060085034</c:v>
                </c:pt>
                <c:pt idx="10">
                  <c:v>53.0257440436399</c:v>
                </c:pt>
                <c:pt idx="11">
                  <c:v>17.9124996657486</c:v>
                </c:pt>
              </c:numCache>
            </c:numRef>
          </c:val>
        </c:ser>
        <c:ser>
          <c:idx val="1"/>
          <c:order val="1"/>
          <c:tx>
            <c:strRef>
              <c:f>Sheet1!$F$50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Sheet1!$F$52:$F$63</c:f>
              <c:numCache>
                <c:formatCode>General</c:formatCode>
                <c:ptCount val="12"/>
                <c:pt idx="0">
                  <c:v>358.989238778632</c:v>
                </c:pt>
                <c:pt idx="1">
                  <c:v>382.142919403773</c:v>
                </c:pt>
                <c:pt idx="2">
                  <c:v>527.450709386567</c:v>
                </c:pt>
                <c:pt idx="3">
                  <c:v>431.394630940794</c:v>
                </c:pt>
                <c:pt idx="4">
                  <c:v>382.142919403774</c:v>
                </c:pt>
                <c:pt idx="5">
                  <c:v>266.321340440976</c:v>
                </c:pt>
                <c:pt idx="6">
                  <c:v>239.411435921875</c:v>
                </c:pt>
                <c:pt idx="7">
                  <c:v>266.321340440976</c:v>
                </c:pt>
                <c:pt idx="8">
                  <c:v>418.707378660017</c:v>
                </c:pt>
                <c:pt idx="9">
                  <c:v>527.450709386567</c:v>
                </c:pt>
                <c:pt idx="10">
                  <c:v>741.765662446318</c:v>
                </c:pt>
                <c:pt idx="11">
                  <c:v>653.558672520906</c:v>
                </c:pt>
              </c:numCache>
            </c:numRef>
          </c:val>
        </c:ser>
        <c:gapWidth val="100"/>
        <c:overlap val="100"/>
        <c:axId val="59637633"/>
        <c:axId val="51170607"/>
      </c:barChart>
      <c:catAx>
        <c:axId val="59637633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1170607"/>
        <c:crosses val="autoZero"/>
        <c:auto val="1"/>
        <c:lblAlgn val="ctr"/>
        <c:lblOffset val="100"/>
        <c:noMultiLvlLbl val="0"/>
      </c:catAx>
      <c:valAx>
        <c:axId val="51170607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9637633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Wind Energy by Month kWh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Sheet1!$F$50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Sheet1!$F$52:$F$63</c:f>
              <c:numCache>
                <c:formatCode>General</c:formatCode>
                <c:ptCount val="12"/>
                <c:pt idx="0">
                  <c:v>358.989238778632</c:v>
                </c:pt>
                <c:pt idx="1">
                  <c:v>382.142919403773</c:v>
                </c:pt>
                <c:pt idx="2">
                  <c:v>527.450709386567</c:v>
                </c:pt>
                <c:pt idx="3">
                  <c:v>431.394630940794</c:v>
                </c:pt>
                <c:pt idx="4">
                  <c:v>382.142919403774</c:v>
                </c:pt>
                <c:pt idx="5">
                  <c:v>266.321340440976</c:v>
                </c:pt>
                <c:pt idx="6">
                  <c:v>239.411435921875</c:v>
                </c:pt>
                <c:pt idx="7">
                  <c:v>266.321340440976</c:v>
                </c:pt>
                <c:pt idx="8">
                  <c:v>418.707378660017</c:v>
                </c:pt>
                <c:pt idx="9">
                  <c:v>527.450709386567</c:v>
                </c:pt>
                <c:pt idx="10">
                  <c:v>741.765662446318</c:v>
                </c:pt>
                <c:pt idx="11">
                  <c:v>653.558672520906</c:v>
                </c:pt>
              </c:numCache>
            </c:numRef>
          </c:val>
        </c:ser>
        <c:gapWidth val="100"/>
        <c:overlap val="0"/>
        <c:axId val="39892302"/>
        <c:axId val="78620077"/>
      </c:barChart>
      <c:catAx>
        <c:axId val="3989230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620077"/>
        <c:crosses val="autoZero"/>
        <c:auto val="1"/>
        <c:lblAlgn val="ctr"/>
        <c:lblOffset val="100"/>
        <c:noMultiLvlLbl val="0"/>
      </c:catAx>
      <c:valAx>
        <c:axId val="78620077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892302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Solar Energy by Month kWh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Sheet1!$I$50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Sheet1!$I$52:$I$63</c:f>
              <c:numCache>
                <c:formatCode>General</c:formatCode>
                <c:ptCount val="12"/>
                <c:pt idx="0">
                  <c:v>59.8877918014814</c:v>
                </c:pt>
                <c:pt idx="1">
                  <c:v>214.75836965532</c:v>
                </c:pt>
                <c:pt idx="2">
                  <c:v>587.006210391208</c:v>
                </c:pt>
                <c:pt idx="3">
                  <c:v>766.35020857288</c:v>
                </c:pt>
                <c:pt idx="4">
                  <c:v>863.258383025377</c:v>
                </c:pt>
                <c:pt idx="5">
                  <c:v>819.640579458245</c:v>
                </c:pt>
                <c:pt idx="6">
                  <c:v>794.428028986282</c:v>
                </c:pt>
                <c:pt idx="7">
                  <c:v>671.50429847314</c:v>
                </c:pt>
                <c:pt idx="8">
                  <c:v>406.028825841645</c:v>
                </c:pt>
                <c:pt idx="9">
                  <c:v>206.199060085034</c:v>
                </c:pt>
                <c:pt idx="10">
                  <c:v>53.0257440436399</c:v>
                </c:pt>
                <c:pt idx="11">
                  <c:v>17.9124996657486</c:v>
                </c:pt>
              </c:numCache>
            </c:numRef>
          </c:val>
        </c:ser>
        <c:gapWidth val="100"/>
        <c:overlap val="0"/>
        <c:axId val="16168271"/>
        <c:axId val="77372191"/>
      </c:barChart>
      <c:catAx>
        <c:axId val="1616827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7372191"/>
        <c:crosses val="autoZero"/>
        <c:auto val="1"/>
        <c:lblAlgn val="ctr"/>
        <c:lblOffset val="100"/>
        <c:noMultiLvlLbl val="0"/>
      </c:catAx>
      <c:valAx>
        <c:axId val="77372191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16168271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Wind and Solar Energy by Month kWh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barChart>
        <c:barDir val="col"/>
        <c:grouping val="stacked"/>
        <c:varyColors val="0"/>
        <c:ser>
          <c:idx val="0"/>
          <c:order val="0"/>
          <c:tx>
            <c:strRef>
              <c:f>Sheet1!$I$50</c:f>
              <c:strCache>
                <c:ptCount val="1"/>
                <c:pt idx="0">
                  <c:v>Solar</c:v>
                </c:pt>
              </c:strCache>
            </c:strRef>
          </c:tx>
          <c:spPr>
            <a:solidFill>
              <a:srgbClr val="ff420e"/>
            </a:solidFill>
            <a:ln w="0">
              <a:noFill/>
            </a:ln>
          </c:spPr>
          <c:invertIfNegative val="0"/>
          <c:dPt>
            <c:idx val="4"/>
            <c:invertIfNegative val="0"/>
            <c:spPr>
              <a:solidFill>
                <a:srgbClr val="ff420e"/>
              </a:solidFill>
              <a:ln w="0">
                <a:noFill/>
              </a:ln>
            </c:spPr>
          </c:dPt>
          <c:dLbls>
            <c:dLbl>
              <c:idx val="4"/>
              <c:txPr>
                <a:bodyPr wrap="none"/>
                <a:lstStyle/>
                <a:p>
                  <a:pPr>
                    <a:defRPr b="0" sz="1000" spc="-1" strike="noStrike">
                      <a:latin typeface="Arial"/>
                    </a:defRPr>
                  </a:pPr>
                </a:p>
              </c:txPr>
              <c:showLegendKey val="0"/>
              <c:showVal val="0"/>
              <c:showCatName val="0"/>
              <c:showSerName val="0"/>
              <c:showPercent val="0"/>
              <c:separator> </c:separator>
            </c:dLbl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Sheet1!$I$52:$I$63</c:f>
              <c:numCache>
                <c:formatCode>General</c:formatCode>
                <c:ptCount val="12"/>
                <c:pt idx="0">
                  <c:v>59.8877918014814</c:v>
                </c:pt>
                <c:pt idx="1">
                  <c:v>214.75836965532</c:v>
                </c:pt>
                <c:pt idx="2">
                  <c:v>587.006210391208</c:v>
                </c:pt>
                <c:pt idx="3">
                  <c:v>766.35020857288</c:v>
                </c:pt>
                <c:pt idx="4">
                  <c:v>863.258383025377</c:v>
                </c:pt>
                <c:pt idx="5">
                  <c:v>819.640579458245</c:v>
                </c:pt>
                <c:pt idx="6">
                  <c:v>794.428028986282</c:v>
                </c:pt>
                <c:pt idx="7">
                  <c:v>671.50429847314</c:v>
                </c:pt>
                <c:pt idx="8">
                  <c:v>406.028825841645</c:v>
                </c:pt>
                <c:pt idx="9">
                  <c:v>206.199060085034</c:v>
                </c:pt>
                <c:pt idx="10">
                  <c:v>53.0257440436399</c:v>
                </c:pt>
                <c:pt idx="11">
                  <c:v>17.9124996657486</c:v>
                </c:pt>
              </c:numCache>
            </c:numRef>
          </c:val>
        </c:ser>
        <c:ser>
          <c:idx val="1"/>
          <c:order val="1"/>
          <c:tx>
            <c:strRef>
              <c:f>Sheet1!$F$50</c:f>
              <c:strCache>
                <c:ptCount val="1"/>
                <c:pt idx="0">
                  <c:v>Wind</c:v>
                </c:pt>
              </c:strCache>
            </c:strRef>
          </c:tx>
          <c:spPr>
            <a:solidFill>
              <a:srgbClr val="004586"/>
            </a:solidFill>
            <a:ln w="0">
              <a:noFill/>
            </a:ln>
          </c:spPr>
          <c:invertIfNegative val="0"/>
          <c:dLbls>
            <c:txPr>
              <a:bodyPr wrap="non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1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Sheet1!$A$52:$A$63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Sheet1!$F$52:$F$63</c:f>
              <c:numCache>
                <c:formatCode>General</c:formatCode>
                <c:ptCount val="12"/>
                <c:pt idx="0">
                  <c:v>358.989238778632</c:v>
                </c:pt>
                <c:pt idx="1">
                  <c:v>382.142919403773</c:v>
                </c:pt>
                <c:pt idx="2">
                  <c:v>527.450709386567</c:v>
                </c:pt>
                <c:pt idx="3">
                  <c:v>431.394630940794</c:v>
                </c:pt>
                <c:pt idx="4">
                  <c:v>382.142919403774</c:v>
                </c:pt>
                <c:pt idx="5">
                  <c:v>266.321340440976</c:v>
                </c:pt>
                <c:pt idx="6">
                  <c:v>239.411435921875</c:v>
                </c:pt>
                <c:pt idx="7">
                  <c:v>266.321340440976</c:v>
                </c:pt>
                <c:pt idx="8">
                  <c:v>418.707378660017</c:v>
                </c:pt>
                <c:pt idx="9">
                  <c:v>527.450709386567</c:v>
                </c:pt>
                <c:pt idx="10">
                  <c:v>741.765662446318</c:v>
                </c:pt>
                <c:pt idx="11">
                  <c:v>653.558672520906</c:v>
                </c:pt>
              </c:numCache>
            </c:numRef>
          </c:val>
        </c:ser>
        <c:gapWidth val="100"/>
        <c:overlap val="100"/>
        <c:axId val="78765910"/>
        <c:axId val="85757954"/>
      </c:barChart>
      <c:catAx>
        <c:axId val="7876591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85757954"/>
        <c:crosses val="autoZero"/>
        <c:auto val="1"/>
        <c:lblAlgn val="ctr"/>
        <c:lblOffset val="100"/>
        <c:noMultiLvlLbl val="0"/>
      </c:catAx>
      <c:valAx>
        <c:axId val="85757954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0.000" sourceLinked="1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765910"/>
        <c:crosses val="autoZero"/>
        <c:crossBetween val="between"/>
      </c:valAx>
      <c:spPr>
        <a:noFill/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65</xdr:row>
      <xdr:rowOff>47520</xdr:rowOff>
    </xdr:from>
    <xdr:to>
      <xdr:col>3</xdr:col>
      <xdr:colOff>1384560</xdr:colOff>
      <xdr:row>85</xdr:row>
      <xdr:rowOff>36000</xdr:rowOff>
    </xdr:to>
    <xdr:graphicFrame>
      <xdr:nvGraphicFramePr>
        <xdr:cNvPr id="0" name=""/>
        <xdr:cNvGraphicFramePr/>
      </xdr:nvGraphicFramePr>
      <xdr:xfrm>
        <a:off x="0" y="1181484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26640</xdr:colOff>
      <xdr:row>86</xdr:row>
      <xdr:rowOff>94320</xdr:rowOff>
    </xdr:from>
    <xdr:to>
      <xdr:col>3</xdr:col>
      <xdr:colOff>1411200</xdr:colOff>
      <xdr:row>106</xdr:row>
      <xdr:rowOff>82800</xdr:rowOff>
    </xdr:to>
    <xdr:graphicFrame>
      <xdr:nvGraphicFramePr>
        <xdr:cNvPr id="1" name=""/>
        <xdr:cNvGraphicFramePr/>
      </xdr:nvGraphicFramePr>
      <xdr:xfrm>
        <a:off x="26640" y="152751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0</xdr:colOff>
      <xdr:row>107</xdr:row>
      <xdr:rowOff>48240</xdr:rowOff>
    </xdr:from>
    <xdr:to>
      <xdr:col>3</xdr:col>
      <xdr:colOff>1384560</xdr:colOff>
      <xdr:row>127</xdr:row>
      <xdr:rowOff>36720</xdr:rowOff>
    </xdr:to>
    <xdr:graphicFrame>
      <xdr:nvGraphicFramePr>
        <xdr:cNvPr id="2" name=""/>
        <xdr:cNvGraphicFramePr/>
      </xdr:nvGraphicFramePr>
      <xdr:xfrm>
        <a:off x="0" y="18642960"/>
        <a:ext cx="5759640" cy="323964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7</xdr:col>
      <xdr:colOff>248040</xdr:colOff>
      <xdr:row>16</xdr:row>
      <xdr:rowOff>47880</xdr:rowOff>
    </xdr:to>
    <xdr:graphicFrame>
      <xdr:nvGraphicFramePr>
        <xdr:cNvPr id="3" name=""/>
        <xdr:cNvGraphicFramePr/>
      </xdr:nvGraphicFramePr>
      <xdr:xfrm>
        <a:off x="0" y="0"/>
        <a:ext cx="5937480" cy="264888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17</xdr:row>
      <xdr:rowOff>114840</xdr:rowOff>
    </xdr:from>
    <xdr:to>
      <xdr:col>7</xdr:col>
      <xdr:colOff>218160</xdr:colOff>
      <xdr:row>34</xdr:row>
      <xdr:rowOff>57240</xdr:rowOff>
    </xdr:to>
    <xdr:graphicFrame>
      <xdr:nvGraphicFramePr>
        <xdr:cNvPr id="4" name=""/>
        <xdr:cNvGraphicFramePr/>
      </xdr:nvGraphicFramePr>
      <xdr:xfrm>
        <a:off x="0" y="2878200"/>
        <a:ext cx="5907600" cy="27061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50040</xdr:colOff>
      <xdr:row>35</xdr:row>
      <xdr:rowOff>134280</xdr:rowOff>
    </xdr:from>
    <xdr:to>
      <xdr:col>7</xdr:col>
      <xdr:colOff>218160</xdr:colOff>
      <xdr:row>54</xdr:row>
      <xdr:rowOff>57240</xdr:rowOff>
    </xdr:to>
    <xdr:graphicFrame>
      <xdr:nvGraphicFramePr>
        <xdr:cNvPr id="5" name=""/>
        <xdr:cNvGraphicFramePr/>
      </xdr:nvGraphicFramePr>
      <xdr:xfrm>
        <a:off x="50040" y="5823720"/>
        <a:ext cx="5857560" cy="30117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67"/>
  <sheetViews>
    <sheetView showFormulas="false" showGridLines="true" showRowColHeaders="true" showZeros="true" rightToLeft="false" tabSelected="true" showOutlineSymbols="true" defaultGridColor="true" view="normal" topLeftCell="A106" colorId="64" zoomScale="100" zoomScaleNormal="100" zoomScalePageLayoutView="100" workbookViewId="0">
      <selection pane="topLeft" activeCell="A1" activeCellId="0" sqref="A1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25.19"/>
    <col collapsed="false" customWidth="true" hidden="false" outlineLevel="0" max="2" min="2" style="0" width="17.78"/>
    <col collapsed="false" customWidth="true" hidden="false" outlineLevel="0" max="3" min="3" style="0" width="19.04"/>
    <col collapsed="false" customWidth="true" hidden="false" outlineLevel="0" max="4" min="4" style="0" width="24.45"/>
    <col collapsed="false" customWidth="true" hidden="false" outlineLevel="0" max="5" min="5" style="0" width="15.69"/>
    <col collapsed="false" customWidth="true" hidden="false" outlineLevel="0" max="6" min="6" style="0" width="17.92"/>
    <col collapsed="false" customWidth="true" hidden="false" outlineLevel="0" max="7" min="7" style="0" width="22.09"/>
    <col collapsed="false" customWidth="true" hidden="false" outlineLevel="0" max="8" min="8" style="0" width="18.76"/>
    <col collapsed="false" customWidth="true" hidden="false" outlineLevel="0" max="9" min="9" style="0" width="29.03"/>
    <col collapsed="false" customWidth="true" hidden="false" outlineLevel="0" max="10" min="10" style="0" width="38.76"/>
  </cols>
  <sheetData>
    <row r="1" customFormat="false" ht="12.8" hidden="false" customHeight="false" outlineLevel="0" collapsed="false">
      <c r="A1" s="1" t="s">
        <v>0</v>
      </c>
      <c r="B1" s="1" t="s">
        <v>1</v>
      </c>
      <c r="C1" s="2" t="s">
        <v>2</v>
      </c>
      <c r="D1" s="3" t="s">
        <v>3</v>
      </c>
      <c r="E1" s="3" t="s">
        <v>4</v>
      </c>
      <c r="F1" s="4" t="s">
        <v>5</v>
      </c>
    </row>
    <row r="2" customFormat="false" ht="27.6" hidden="false" customHeight="true" outlineLevel="0" collapsed="false">
      <c r="A2" s="5" t="s">
        <v>6</v>
      </c>
      <c r="B2" s="1" t="s">
        <v>7</v>
      </c>
      <c r="C2" s="2" t="n">
        <v>3.38</v>
      </c>
      <c r="D2" s="6" t="s">
        <v>8</v>
      </c>
      <c r="E2" s="3" t="s">
        <v>9</v>
      </c>
      <c r="F2" s="7" t="n">
        <f aca="false">nturbines*perturbineannualmw*1000</f>
        <v>5024.4885439202</v>
      </c>
    </row>
    <row r="3" customFormat="false" ht="25.35" hidden="false" customHeight="true" outlineLevel="0" collapsed="false">
      <c r="A3" s="1" t="s">
        <v>10</v>
      </c>
      <c r="B3" s="1"/>
      <c r="C3" s="2" t="n">
        <v>1</v>
      </c>
      <c r="D3" s="6" t="s">
        <v>11</v>
      </c>
      <c r="E3" s="3" t="s">
        <v>9</v>
      </c>
      <c r="F3" s="7" t="n">
        <f aca="false">pvout*peakpv</f>
        <v>5460</v>
      </c>
    </row>
    <row r="4" customFormat="false" ht="31.3" hidden="false" customHeight="true" outlineLevel="0" collapsed="false">
      <c r="A4" s="8" t="s">
        <v>12</v>
      </c>
      <c r="B4" s="1" t="s">
        <v>13</v>
      </c>
      <c r="C4" s="2" t="n">
        <v>780</v>
      </c>
      <c r="D4" s="6" t="s">
        <v>14</v>
      </c>
      <c r="E4" s="3" t="s">
        <v>9</v>
      </c>
      <c r="F4" s="7" t="n">
        <f aca="false">SUM(F2:F3)</f>
        <v>10484.4885439202</v>
      </c>
    </row>
    <row r="5" customFormat="false" ht="17.15" hidden="false" customHeight="true" outlineLevel="0" collapsed="false">
      <c r="A5" s="1" t="s">
        <v>15</v>
      </c>
      <c r="B5" s="1" t="s">
        <v>16</v>
      </c>
      <c r="C5" s="2" t="n">
        <v>7</v>
      </c>
      <c r="D5" s="6" t="s">
        <v>17</v>
      </c>
      <c r="E5" s="3" t="s">
        <v>18</v>
      </c>
      <c r="F5" s="9" t="n">
        <f aca="false">(C6+C7)*1000/30/F4</f>
        <v>0.0858410971817883</v>
      </c>
    </row>
    <row r="6" customFormat="false" ht="12.8" hidden="false" customHeight="false" outlineLevel="0" collapsed="false">
      <c r="A6" s="1" t="s">
        <v>19</v>
      </c>
      <c r="B6" s="1" t="s">
        <v>20</v>
      </c>
      <c r="C6" s="2" t="n">
        <v>20</v>
      </c>
      <c r="D6" s="3" t="s">
        <v>21</v>
      </c>
      <c r="E6" s="3" t="s">
        <v>18</v>
      </c>
      <c r="F6" s="9" t="n">
        <f aca="false">C6*1000/30/F2</f>
        <v>0.132683488247447</v>
      </c>
    </row>
    <row r="7" customFormat="false" ht="12.8" hidden="false" customHeight="false" outlineLevel="0" collapsed="false">
      <c r="A7" s="1" t="s">
        <v>22</v>
      </c>
      <c r="B7" s="1" t="s">
        <v>20</v>
      </c>
      <c r="C7" s="2" t="n">
        <v>7</v>
      </c>
      <c r="D7" s="3" t="s">
        <v>23</v>
      </c>
      <c r="E7" s="3" t="s">
        <v>18</v>
      </c>
      <c r="F7" s="9" t="n">
        <f aca="false">C7*1000/30/F3</f>
        <v>0.0427350427350427</v>
      </c>
    </row>
    <row r="8" customFormat="false" ht="23.85" hidden="false" customHeight="false" outlineLevel="0" collapsed="false">
      <c r="A8" s="0" t="s">
        <v>24</v>
      </c>
      <c r="B8" s="0" t="s">
        <v>25</v>
      </c>
      <c r="C8" s="0" t="s">
        <v>26</v>
      </c>
      <c r="D8" s="0" t="s">
        <v>27</v>
      </c>
      <c r="E8" s="0" t="s">
        <v>28</v>
      </c>
      <c r="F8" s="10" t="s">
        <v>29</v>
      </c>
      <c r="G8" s="0" t="s">
        <v>30</v>
      </c>
      <c r="H8" s="0" t="s">
        <v>31</v>
      </c>
      <c r="I8" s="0" t="s">
        <v>32</v>
      </c>
    </row>
    <row r="9" customFormat="false" ht="12.8" hidden="false" customHeight="false" outlineLevel="0" collapsed="false">
      <c r="A9" s="0" t="n">
        <v>2</v>
      </c>
      <c r="B9" s="0" t="n">
        <v>8.5</v>
      </c>
      <c r="C9" s="0" t="n">
        <v>27.5</v>
      </c>
      <c r="D9" s="0" t="n">
        <v>0.4</v>
      </c>
      <c r="E9" s="0" t="n">
        <f aca="false">C2</f>
        <v>3.38</v>
      </c>
      <c r="F9" s="0" t="n">
        <v>2</v>
      </c>
      <c r="G9" s="0" t="n">
        <v>1.225</v>
      </c>
      <c r="H9" s="0" t="n">
        <f aca="false">vmean*5.85/4.88</f>
        <v>4.05184426229508</v>
      </c>
      <c r="I9" s="0" t="n">
        <v>4000</v>
      </c>
    </row>
    <row r="10" customFormat="false" ht="23.85" hidden="false" customHeight="false" outlineLevel="0" collapsed="false">
      <c r="A10" s="0" t="s">
        <v>33</v>
      </c>
      <c r="B10" s="10" t="s">
        <v>34</v>
      </c>
      <c r="C10" s="0" t="s">
        <v>35</v>
      </c>
      <c r="D10" s="0" t="s">
        <v>36</v>
      </c>
      <c r="E10" s="10" t="s">
        <v>37</v>
      </c>
      <c r="F10" s="10" t="s">
        <v>38</v>
      </c>
      <c r="G10" s="10" t="s">
        <v>39</v>
      </c>
      <c r="H10" s="10" t="s">
        <v>40</v>
      </c>
    </row>
    <row r="11" customFormat="false" ht="12.8" hidden="false" customHeight="false" outlineLevel="0" collapsed="false">
      <c r="A11" s="11" t="n">
        <v>0</v>
      </c>
      <c r="B11" s="11" t="n">
        <f aca="false">A11*A11*A11*G9/2</f>
        <v>0</v>
      </c>
      <c r="C11" s="11" t="n">
        <v>0</v>
      </c>
      <c r="D11" s="11" t="n">
        <v>0</v>
      </c>
      <c r="E11" s="11" t="n">
        <v>0</v>
      </c>
      <c r="F11" s="11" t="n">
        <v>0</v>
      </c>
      <c r="G11" s="11" t="n">
        <v>0</v>
      </c>
      <c r="H11" s="11" t="n">
        <v>0</v>
      </c>
    </row>
    <row r="12" customFormat="false" ht="12.8" hidden="false" customHeight="false" outlineLevel="0" collapsed="false">
      <c r="A12" s="11" t="n">
        <v>0.5</v>
      </c>
      <c r="B12" s="11" t="n">
        <f aca="false">A12*A12*A12*airdensity/2</f>
        <v>0.0765625</v>
      </c>
      <c r="C12" s="11" t="n">
        <f aca="false">IF(A12&lt;vstart,0,IF(A12&gt;vrated,prated,A12*A12*A12*airdensity/2*Cpmax*sweptarea))</f>
        <v>0</v>
      </c>
      <c r="D12" s="11" t="n">
        <f aca="false">C12/B12/sweptarea</f>
        <v>0</v>
      </c>
      <c r="E12" s="11" t="n">
        <f aca="false">_xlfn.WEIBULL.DIST(A12,alpha,beta,1)</f>
        <v>0.015112352023778</v>
      </c>
      <c r="F12" s="11" t="n">
        <f aca="false">B12*G12</f>
        <v>0.00459300912337933</v>
      </c>
      <c r="G12" s="11" t="n">
        <f aca="false">_xlfn.WEIBULL.DIST(A12,alpha,beta,0)</f>
        <v>0.0599903232441382</v>
      </c>
      <c r="H12" s="11" t="n">
        <f aca="false">G12*C12/2*365*24/1000000</f>
        <v>0</v>
      </c>
    </row>
    <row r="13" customFormat="false" ht="12.8" hidden="false" customHeight="false" outlineLevel="0" collapsed="false">
      <c r="A13" s="11" t="n">
        <v>1</v>
      </c>
      <c r="B13" s="11" t="n">
        <f aca="false">A13*A13*A13*airdensity/2</f>
        <v>0.6125</v>
      </c>
      <c r="C13" s="11" t="n">
        <f aca="false">IF(A13&lt;vstart,0,IF(A13&gt;vrated,prated,A13*A13*A13*airdensity/2*Cpmax*sweptarea))</f>
        <v>0</v>
      </c>
      <c r="D13" s="11" t="n">
        <f aca="false">C13/B13/sweptarea</f>
        <v>0</v>
      </c>
      <c r="E13" s="11" t="n">
        <f aca="false">_xlfn.WEIBULL.DIST(A13,alpha,beta,1)</f>
        <v>0.0590928624623629</v>
      </c>
      <c r="F13" s="11" t="n">
        <f aca="false">B13*G13</f>
        <v>0.0702065065121813</v>
      </c>
      <c r="G13" s="11" t="n">
        <f aca="false">_xlfn.WEIBULL.DIST(A13,alpha,beta,0)</f>
        <v>0.11462286777499</v>
      </c>
      <c r="H13" s="11" t="n">
        <f aca="false">G13*C13/2*365*24/1000000</f>
        <v>0</v>
      </c>
    </row>
    <row r="14" customFormat="false" ht="12.8" hidden="false" customHeight="false" outlineLevel="0" collapsed="false">
      <c r="A14" s="11" t="n">
        <v>1.5</v>
      </c>
      <c r="B14" s="11" t="n">
        <f aca="false">A14*A14*A14*airdensity/2</f>
        <v>2.0671875</v>
      </c>
      <c r="C14" s="11" t="n">
        <f aca="false">IF(A14&lt;vstart,0,IF(A14&gt;vrated,prated,A14*A14*A14*airdensity/2*Cpmax*sweptarea))</f>
        <v>0</v>
      </c>
      <c r="D14" s="11" t="n">
        <f aca="false">C14/B14/sweptarea</f>
        <v>0</v>
      </c>
      <c r="E14" s="11" t="n">
        <f aca="false">_xlfn.WEIBULL.DIST(A14,alpha,beta,1)</f>
        <v>0.128072818100661</v>
      </c>
      <c r="F14" s="11" t="n">
        <f aca="false">B14*G14</f>
        <v>0.329363791168295</v>
      </c>
      <c r="G14" s="11" t="n">
        <f aca="false">_xlfn.WEIBULL.DIST(A14,alpha,beta,0)</f>
        <v>0.159329422787384</v>
      </c>
      <c r="H14" s="11" t="n">
        <f aca="false">G14*C14/2*365*24/1000000</f>
        <v>0</v>
      </c>
    </row>
    <row r="15" customFormat="false" ht="12.8" hidden="false" customHeight="false" outlineLevel="0" collapsed="false">
      <c r="A15" s="11" t="n">
        <v>2</v>
      </c>
      <c r="B15" s="11" t="n">
        <f aca="false">A15*A15*A15*airdensity/2</f>
        <v>4.9</v>
      </c>
      <c r="C15" s="11" t="n">
        <f aca="false">IF(A15&lt;vstart,0,IF(A15&gt;vrated,prated,A15*A15*A15*airdensity/2*Cpmax*sweptarea))</f>
        <v>53.9</v>
      </c>
      <c r="D15" s="11" t="n">
        <f aca="false">C15/B15/sweptarea</f>
        <v>0.4</v>
      </c>
      <c r="E15" s="11" t="n">
        <f aca="false">_xlfn.WEIBULL.DIST(A15,alpha,beta,1)</f>
        <v>0.216232858815555</v>
      </c>
      <c r="F15" s="11" t="n">
        <f aca="false">B15*G15</f>
        <v>0.935702165815885</v>
      </c>
      <c r="G15" s="11" t="n">
        <f aca="false">_xlfn.WEIBULL.DIST(A15,alpha,beta,0)</f>
        <v>0.190959625676711</v>
      </c>
      <c r="H15" s="11" t="n">
        <f aca="false">G15*C15/2*365*24/1000000</f>
        <v>0.0450821303490093</v>
      </c>
    </row>
    <row r="16" customFormat="false" ht="12.8" hidden="false" customHeight="false" outlineLevel="0" collapsed="false">
      <c r="A16" s="11" t="n">
        <v>2.5</v>
      </c>
      <c r="B16" s="11" t="n">
        <f aca="false">A16*A16*A16*airdensity/2</f>
        <v>9.5703125</v>
      </c>
      <c r="C16" s="11" t="n">
        <f aca="false">IF(A16&lt;vstart,0,IF(A16&gt;vrated,prated,A16*A16*A16*airdensity/2*Cpmax*sweptarea))</f>
        <v>105.2734375</v>
      </c>
      <c r="D16" s="11" t="n">
        <f aca="false">C16/B16/sweptarea</f>
        <v>0.4</v>
      </c>
      <c r="E16" s="11" t="n">
        <f aca="false">_xlfn.WEIBULL.DIST(A16,alpha,beta,1)</f>
        <v>0.316612125321746</v>
      </c>
      <c r="F16" s="11" t="n">
        <f aca="false">B16*G16</f>
        <v>1.99185584115467</v>
      </c>
      <c r="G16" s="11" t="n">
        <f aca="false">_xlfn.WEIBULL.DIST(A16,alpha,beta,0)</f>
        <v>0.208128610341059</v>
      </c>
      <c r="H16" s="11" t="n">
        <f aca="false">G16*C16/2*365*24/1000000</f>
        <v>0.0959676144268319</v>
      </c>
    </row>
    <row r="17" customFormat="false" ht="12.8" hidden="false" customHeight="false" outlineLevel="0" collapsed="false">
      <c r="A17" s="11" t="n">
        <v>3</v>
      </c>
      <c r="B17" s="11" t="n">
        <f aca="false">A17*A17*A17*airdensity/2</f>
        <v>16.5375</v>
      </c>
      <c r="C17" s="11" t="n">
        <f aca="false">IF(A17&lt;vstart,0,IF(A17&gt;vrated,prated,A17*A17*A17*airdensity/2*Cpmax*sweptarea))</f>
        <v>181.9125</v>
      </c>
      <c r="D17" s="11" t="n">
        <f aca="false">C17/B17/sweptarea</f>
        <v>0.4</v>
      </c>
      <c r="E17" s="11" t="n">
        <f aca="false">_xlfn.WEIBULL.DIST(A17,alpha,beta,1)</f>
        <v>0.422009277932503</v>
      </c>
      <c r="F17" s="11" t="n">
        <f aca="false">B17*G17</f>
        <v>3.49330484347219</v>
      </c>
      <c r="G17" s="11" t="n">
        <f aca="false">_xlfn.WEIBULL.DIST(A17,alpha,beta,0)</f>
        <v>0.211235364684637</v>
      </c>
      <c r="H17" s="11" t="n">
        <f aca="false">G17*C17/2*365*24/1000000</f>
        <v>0.16830742735849</v>
      </c>
    </row>
    <row r="18" customFormat="false" ht="12.8" hidden="false" customHeight="false" outlineLevel="0" collapsed="false">
      <c r="A18" s="11" t="n">
        <v>3.5</v>
      </c>
      <c r="B18" s="11" t="n">
        <f aca="false">A18*A18*A18*airdensity/2</f>
        <v>26.2609375</v>
      </c>
      <c r="C18" s="11" t="n">
        <f aca="false">IF(A18&lt;vstart,0,IF(A18&gt;vrated,prated,A18*A18*A18*airdensity/2*Cpmax*sweptarea))</f>
        <v>288.8703125</v>
      </c>
      <c r="D18" s="11" t="n">
        <f aca="false">C18/B18/sweptarea</f>
        <v>0.4</v>
      </c>
      <c r="E18" s="11" t="n">
        <f aca="false">_xlfn.WEIBULL.DIST(A18,alpha,beta,1)</f>
        <v>0.525814961516771</v>
      </c>
      <c r="F18" s="11" t="n">
        <f aca="false">B18*G18</f>
        <v>5.3094633138809</v>
      </c>
      <c r="G18" s="11" t="n">
        <f aca="false">_xlfn.WEIBULL.DIST(A18,alpha,beta,0)</f>
        <v>0.202181027005639</v>
      </c>
      <c r="H18" s="11" t="n">
        <f aca="false">G18*C18/2*365*24/1000000</f>
        <v>0.255809942462782</v>
      </c>
    </row>
    <row r="19" customFormat="false" ht="12.8" hidden="false" customHeight="false" outlineLevel="0" collapsed="false">
      <c r="A19" s="11" t="n">
        <v>4</v>
      </c>
      <c r="B19" s="11" t="n">
        <f aca="false">A19*A19*A19*airdensity/2</f>
        <v>39.2</v>
      </c>
      <c r="C19" s="11" t="n">
        <f aca="false">IF(A19&lt;vstart,0,IF(A19&gt;vrated,prated,A19*A19*A19*airdensity/2*Cpmax*sweptarea))</f>
        <v>431.2</v>
      </c>
      <c r="D19" s="11" t="n">
        <f aca="false">C19/B19/sweptarea</f>
        <v>0.4</v>
      </c>
      <c r="E19" s="11" t="n">
        <f aca="false">_xlfn.WEIBULL.DIST(A19,alpha,beta,1)</f>
        <v>0.622646651353466</v>
      </c>
      <c r="F19" s="11" t="n">
        <f aca="false">B19*G19</f>
        <v>7.20806631567313</v>
      </c>
      <c r="G19" s="11" t="n">
        <f aca="false">_xlfn.WEIBULL.DIST(A19,alpha,beta,0)</f>
        <v>0.183879242746763</v>
      </c>
      <c r="H19" s="11" t="n">
        <f aca="false">G19*C19/2*365*24/1000000</f>
        <v>0.347284635089131</v>
      </c>
    </row>
    <row r="20" customFormat="false" ht="12.8" hidden="false" customHeight="false" outlineLevel="0" collapsed="false">
      <c r="A20" s="11" t="n">
        <v>4.5</v>
      </c>
      <c r="B20" s="11" t="n">
        <f aca="false">A20*A20*A20*airdensity/2</f>
        <v>55.8140625</v>
      </c>
      <c r="C20" s="11" t="n">
        <f aca="false">IF(A20&lt;vstart,0,IF(A20&gt;vrated,prated,A20*A20*A20*airdensity/2*Cpmax*sweptarea))</f>
        <v>613.9546875</v>
      </c>
      <c r="D20" s="11" t="n">
        <f aca="false">C20/B20/sweptarea</f>
        <v>0.4</v>
      </c>
      <c r="E20" s="11" t="n">
        <f aca="false">_xlfn.WEIBULL.DIST(A20,alpha,beta,1)</f>
        <v>0.708712430959148</v>
      </c>
      <c r="F20" s="11" t="n">
        <f aca="false">B20*G20</f>
        <v>8.9125628655031</v>
      </c>
      <c r="G20" s="11" t="n">
        <f aca="false">_xlfn.WEIBULL.DIST(A20,alpha,beta,0)</f>
        <v>0.159683106125864</v>
      </c>
      <c r="H20" s="11" t="n">
        <f aca="false">G20*C20/2*365*24/1000000</f>
        <v>0.429407278859939</v>
      </c>
    </row>
    <row r="21" customFormat="false" ht="12.8" hidden="false" customHeight="false" outlineLevel="0" collapsed="false">
      <c r="A21" s="11" t="n">
        <v>5</v>
      </c>
      <c r="B21" s="11" t="n">
        <f aca="false">A21*A21*A21*airdensity/2</f>
        <v>76.5625</v>
      </c>
      <c r="C21" s="11" t="n">
        <f aca="false">IF(A21&lt;vstart,0,IF(A21&gt;vrated,prated,A21*A21*A21*airdensity/2*Cpmax*sweptarea))</f>
        <v>842.1875</v>
      </c>
      <c r="D21" s="11" t="n">
        <f aca="false">C21/B21/sweptarea</f>
        <v>0.4</v>
      </c>
      <c r="E21" s="11" t="n">
        <f aca="false">_xlfn.WEIBULL.DIST(A21,alpha,beta,1)</f>
        <v>0.781893265541202</v>
      </c>
      <c r="F21" s="11" t="n">
        <f aca="false">B21*G21</f>
        <v>10.1713756213533</v>
      </c>
      <c r="G21" s="11" t="n">
        <f aca="false">_xlfn.WEIBULL.DIST(A21,alpha,beta,0)</f>
        <v>0.132850620360533</v>
      </c>
      <c r="H21" s="11" t="n">
        <f aca="false">G21*C21/2*365*24/1000000</f>
        <v>0.490056877436802</v>
      </c>
    </row>
    <row r="22" customFormat="false" ht="12.8" hidden="false" customHeight="false" outlineLevel="0" collapsed="false">
      <c r="A22" s="11" t="n">
        <v>5.5</v>
      </c>
      <c r="B22" s="11" t="n">
        <f aca="false">A22*A22*A22*airdensity/2</f>
        <v>101.9046875</v>
      </c>
      <c r="C22" s="11" t="n">
        <f aca="false">IF(A22&lt;vstart,0,IF(A22&gt;vrated,prated,A22*A22*A22*airdensity/2*Cpmax*sweptarea))</f>
        <v>1120.9515625</v>
      </c>
      <c r="D22" s="11" t="n">
        <f aca="false">C22/B22/sweptarea</f>
        <v>0.4</v>
      </c>
      <c r="E22" s="11" t="n">
        <f aca="false">_xlfn.WEIBULL.DIST(A22,alpha,beta,1)</f>
        <v>0.84158745133459</v>
      </c>
      <c r="F22" s="11" t="n">
        <f aca="false">B22*G22</f>
        <v>10.8161061112713</v>
      </c>
      <c r="G22" s="11" t="n">
        <f aca="false">_xlfn.WEIBULL.DIST(A22,alpha,beta,0)</f>
        <v>0.106139436532508</v>
      </c>
      <c r="H22" s="11" t="n">
        <f aca="false">G22*C22/2*365*24/1000000</f>
        <v>0.52111999244105</v>
      </c>
    </row>
    <row r="23" customFormat="false" ht="12.8" hidden="false" customHeight="false" outlineLevel="0" collapsed="false">
      <c r="A23" s="11" t="n">
        <v>6</v>
      </c>
      <c r="B23" s="11" t="n">
        <f aca="false">A23*A23*A23*airdensity/2</f>
        <v>132.3</v>
      </c>
      <c r="C23" s="11" t="n">
        <f aca="false">IF(A23&lt;vstart,0,IF(A23&gt;vrated,prated,A23*A23*A23*airdensity/2*Cpmax*sweptarea))</f>
        <v>1455.3</v>
      </c>
      <c r="D23" s="11" t="n">
        <f aca="false">C23/B23/sweptarea</f>
        <v>0.4</v>
      </c>
      <c r="E23" s="11" t="n">
        <f aca="false">_xlfn.WEIBULL.DIST(A23,alpha,beta,1)</f>
        <v>0.888395047067005</v>
      </c>
      <c r="F23" s="11" t="n">
        <f aca="false">B23*G23</f>
        <v>10.7924257674375</v>
      </c>
      <c r="G23" s="11" t="n">
        <f aca="false">_xlfn.WEIBULL.DIST(A23,alpha,beta,0)</f>
        <v>0.0815754026261338</v>
      </c>
      <c r="H23" s="11" t="n">
        <f aca="false">G23*C23/2*365*24/1000000</f>
        <v>0.519979073475139</v>
      </c>
    </row>
    <row r="24" customFormat="false" ht="12.8" hidden="false" customHeight="false" outlineLevel="0" collapsed="false">
      <c r="A24" s="11" t="n">
        <v>6.5</v>
      </c>
      <c r="B24" s="11" t="n">
        <f aca="false">A24*A24*A24*airdensity/2</f>
        <v>168.2078125</v>
      </c>
      <c r="C24" s="11" t="n">
        <f aca="false">IF(A24&lt;vstart,0,IF(A24&gt;vrated,prated,A24*A24*A24*airdensity/2*Cpmax*sweptarea))</f>
        <v>1850.2859375</v>
      </c>
      <c r="D24" s="11" t="n">
        <f aca="false">C24/B24/sweptarea</f>
        <v>0.4</v>
      </c>
      <c r="E24" s="11" t="n">
        <f aca="false">_xlfn.WEIBULL.DIST(A24,alpha,beta,1)</f>
        <v>0.923730528411554</v>
      </c>
      <c r="F24" s="11" t="n">
        <f aca="false">B24*G24</f>
        <v>10.1586211448972</v>
      </c>
      <c r="G24" s="11" t="n">
        <f aca="false">_xlfn.WEIBULL.DIST(A24,alpha,beta,0)</f>
        <v>0.0603932777789212</v>
      </c>
      <c r="H24" s="11" t="n">
        <f aca="false">G24*C24/2*365*24/1000000</f>
        <v>0.489442366761147</v>
      </c>
    </row>
    <row r="25" customFormat="false" ht="12.8" hidden="false" customHeight="false" outlineLevel="0" collapsed="false">
      <c r="A25" s="11" t="n">
        <v>7</v>
      </c>
      <c r="B25" s="11" t="n">
        <f aca="false">A25*A25*A25*airdensity/2</f>
        <v>210.0875</v>
      </c>
      <c r="C25" s="11" t="n">
        <f aca="false">IF(A25&lt;vstart,0,IF(A25&gt;vrated,prated,A25*A25*A25*airdensity/2*Cpmax*sweptarea))</f>
        <v>2310.9625</v>
      </c>
      <c r="D25" s="11" t="n">
        <f aca="false">C25/B25/sweptarea</f>
        <v>0.4</v>
      </c>
      <c r="E25" s="11" t="n">
        <f aca="false">_xlfn.WEIBULL.DIST(A25,alpha,beta,1)</f>
        <v>0.949441825108508</v>
      </c>
      <c r="F25" s="11" t="n">
        <f aca="false">B25*G25</f>
        <v>9.0576210725432</v>
      </c>
      <c r="G25" s="11" t="n">
        <f aca="false">_xlfn.WEIBULL.DIST(A25,alpha,beta,0)</f>
        <v>0.0431135649314843</v>
      </c>
      <c r="H25" s="11" t="n">
        <f aca="false">G25*C25/2*365*24/1000000</f>
        <v>0.436396183275131</v>
      </c>
    </row>
    <row r="26" customFormat="false" ht="12.8" hidden="false" customHeight="false" outlineLevel="0" collapsed="false">
      <c r="A26" s="11" t="n">
        <v>7.5</v>
      </c>
      <c r="B26" s="11" t="n">
        <f aca="false">A26*A26*A26*airdensity/2</f>
        <v>258.3984375</v>
      </c>
      <c r="C26" s="11" t="n">
        <f aca="false">IF(A26&lt;vstart,0,IF(A26&gt;vrated,prated,A26*A26*A26*airdensity/2*Cpmax*sweptarea))</f>
        <v>2842.3828125</v>
      </c>
      <c r="D26" s="11" t="n">
        <f aca="false">C26/B26/sweptarea</f>
        <v>0.4</v>
      </c>
      <c r="E26" s="11" t="n">
        <f aca="false">_xlfn.WEIBULL.DIST(A26,alpha,beta,1)</f>
        <v>0.967490864567229</v>
      </c>
      <c r="F26" s="11" t="n">
        <f aca="false">B26*G26</f>
        <v>7.67504752404962</v>
      </c>
      <c r="G26" s="11" t="n">
        <f aca="false">_xlfn.WEIBULL.DIST(A26,alpha,beta,0)</f>
        <v>0.0297023759056191</v>
      </c>
      <c r="H26" s="11" t="n">
        <f aca="false">G26*C26/2*365*24/1000000</f>
        <v>0.369783789708711</v>
      </c>
    </row>
    <row r="27" customFormat="false" ht="12.8" hidden="false" customHeight="false" outlineLevel="0" collapsed="false">
      <c r="A27" s="11" t="n">
        <v>8</v>
      </c>
      <c r="B27" s="11" t="n">
        <f aca="false">A27*A27*A27*airdensity/2</f>
        <v>313.6</v>
      </c>
      <c r="C27" s="11" t="n">
        <f aca="false">IF(A27&lt;vstart,0,IF(A27&gt;vrated,prated,A27*A27*A27*airdensity/2*Cpmax*sweptarea))</f>
        <v>3449.6</v>
      </c>
      <c r="D27" s="11" t="n">
        <f aca="false">C27/B27/sweptarea</f>
        <v>0.4</v>
      </c>
      <c r="E27" s="11" t="n">
        <f aca="false">_xlfn.WEIBULL.DIST(A27,alpha,beta,1)</f>
        <v>0.979723507415737</v>
      </c>
      <c r="F27" s="11" t="n">
        <f aca="false">B27*G27</f>
        <v>6.1970268967623</v>
      </c>
      <c r="G27" s="11" t="n">
        <f aca="false">_xlfn.WEIBULL.DIST(A27,alpha,beta,0)</f>
        <v>0.0197609276044716</v>
      </c>
      <c r="H27" s="11" t="n">
        <f aca="false">G27*C27/2*365*24/1000000</f>
        <v>0.298572755886008</v>
      </c>
    </row>
    <row r="28" customFormat="false" ht="12.8" hidden="false" customHeight="false" outlineLevel="0" collapsed="false">
      <c r="A28" s="11" t="n">
        <v>8.5</v>
      </c>
      <c r="B28" s="11" t="n">
        <f aca="false">A28*A28*A28*airdensity/2</f>
        <v>376.1515625</v>
      </c>
      <c r="C28" s="11" t="n">
        <f aca="false">IF(A28&lt;vstart,0,IF(A28&gt;vrated,prated,A28*A28*A28*airdensity/2*Cpmax*sweptarea))</f>
        <v>4137.6671875</v>
      </c>
      <c r="D28" s="11" t="n">
        <f aca="false">C28/B28/sweptarea</f>
        <v>0.4</v>
      </c>
      <c r="E28" s="11" t="n">
        <f aca="false">_xlfn.WEIBULL.DIST(A28,alpha,beta,1)</f>
        <v>0.98773256888284</v>
      </c>
      <c r="F28" s="11" t="n">
        <f aca="false">B28*G28</f>
        <v>4.77815166686533</v>
      </c>
      <c r="G28" s="11" t="n">
        <f aca="false">_xlfn.WEIBULL.DIST(A28,alpha,beta,0)</f>
        <v>0.012702729812176</v>
      </c>
      <c r="H28" s="11" t="n">
        <f aca="false">G28*C28/2*365*24/1000000</f>
        <v>0.230211347309571</v>
      </c>
    </row>
    <row r="29" customFormat="false" ht="12.8" hidden="false" customHeight="false" outlineLevel="0" collapsed="false">
      <c r="A29" s="11" t="n">
        <v>9</v>
      </c>
      <c r="B29" s="11" t="n">
        <f aca="false">A29*A29*A29*airdensity/2</f>
        <v>446.5125</v>
      </c>
      <c r="C29" s="11" t="n">
        <f aca="false">IF(A29&lt;vstart,0,IF(A29&gt;vrated,prated,A29*A29*A29*airdensity/2*Cpmax*sweptarea))</f>
        <v>4000</v>
      </c>
      <c r="D29" s="11" t="n">
        <f aca="false">C29/B29/sweptarea</f>
        <v>0.325756939513553</v>
      </c>
      <c r="E29" s="11" t="n">
        <f aca="false">_xlfn.WEIBULL.DIST(A29,alpha,beta,1)</f>
        <v>0.99280074089274</v>
      </c>
      <c r="F29" s="11" t="n">
        <f aca="false">B29*G29</f>
        <v>3.52442637163137</v>
      </c>
      <c r="G29" s="11" t="n">
        <f aca="false">_xlfn.WEIBULL.DIST(A29,alpha,beta,0)</f>
        <v>0.007893231144999</v>
      </c>
      <c r="H29" s="11" t="n">
        <f aca="false">G29*C29/2*365*24/1000000</f>
        <v>0.138289409660383</v>
      </c>
    </row>
    <row r="30" customFormat="false" ht="12.8" hidden="false" customHeight="false" outlineLevel="0" collapsed="false">
      <c r="A30" s="11" t="n">
        <v>9.5</v>
      </c>
      <c r="B30" s="11" t="n">
        <f aca="false">A30*A30*A30*airdensity/2</f>
        <v>525.1421875</v>
      </c>
      <c r="C30" s="11" t="n">
        <f aca="false">IF(A30&lt;vstart,0,IF(A30&gt;vrated,prated,A30*A30*A30*airdensity/2*Cpmax*sweptarea))</f>
        <v>4000</v>
      </c>
      <c r="D30" s="11" t="n">
        <f aca="false">C30/B30/sweptarea</f>
        <v>0.276981261298009</v>
      </c>
      <c r="E30" s="11" t="n">
        <f aca="false">_xlfn.WEIBULL.DIST(A30,alpha,beta,1)</f>
        <v>0.995901779113355</v>
      </c>
      <c r="F30" s="11" t="n">
        <f aca="false">B30*G30</f>
        <v>2.49069405140744</v>
      </c>
      <c r="G30" s="11" t="n">
        <f aca="false">_xlfn.WEIBULL.DIST(A30,alpha,beta,0)</f>
        <v>0.00474289461158068</v>
      </c>
      <c r="H30" s="11" t="n">
        <f aca="false">G30*C30/2*365*24/1000000</f>
        <v>0.0830955135948934</v>
      </c>
    </row>
    <row r="31" customFormat="false" ht="12.8" hidden="false" customHeight="false" outlineLevel="0" collapsed="false">
      <c r="A31" s="11" t="n">
        <v>10</v>
      </c>
      <c r="B31" s="11" t="n">
        <f aca="false">A31*A31*A31*airdensity/2</f>
        <v>612.5</v>
      </c>
      <c r="C31" s="11" t="n">
        <f aca="false">IF(A31&lt;vstart,0,IF(A31&gt;vrated,prated,A31*A31*A31*airdensity/2*Cpmax*sweptarea))</f>
        <v>4000</v>
      </c>
      <c r="D31" s="11" t="n">
        <f aca="false">C31/B31/sweptarea</f>
        <v>0.23747680890538</v>
      </c>
      <c r="E31" s="11" t="n">
        <f aca="false">_xlfn.WEIBULL.DIST(A31,alpha,beta,1)</f>
        <v>0.997737042999487</v>
      </c>
      <c r="F31" s="11" t="n">
        <f aca="false">B31*G31</f>
        <v>1.68852269320718</v>
      </c>
      <c r="G31" s="11" t="n">
        <f aca="false">_xlfn.WEIBULL.DIST(A31,alpha,beta,0)</f>
        <v>0.00275677174401172</v>
      </c>
      <c r="H31" s="11" t="n">
        <f aca="false">G31*C31/2*365*24/1000000</f>
        <v>0.0482986409550853</v>
      </c>
    </row>
    <row r="32" customFormat="false" ht="12.8" hidden="false" customHeight="false" outlineLevel="0" collapsed="false">
      <c r="A32" s="11" t="n">
        <v>10.5</v>
      </c>
      <c r="B32" s="11" t="n">
        <f aca="false">A32*A32*A32*airdensity/2</f>
        <v>709.0453125</v>
      </c>
      <c r="C32" s="11" t="n">
        <f aca="false">IF(A32&lt;vstart,0,IF(A32&gt;vrated,prated,A32*A32*A32*airdensity/2*Cpmax*sweptarea))</f>
        <v>4000</v>
      </c>
      <c r="D32" s="11" t="n">
        <f aca="false">C32/B32/sweptarea</f>
        <v>0.205141396311742</v>
      </c>
      <c r="E32" s="11" t="n">
        <f aca="false">_xlfn.WEIBULL.DIST(A32,alpha,beta,1)</f>
        <v>0.998787921848836</v>
      </c>
      <c r="F32" s="11" t="n">
        <f aca="false">B32*G32</f>
        <v>1.09930554603226</v>
      </c>
      <c r="G32" s="11" t="n">
        <f aca="false">_xlfn.WEIBULL.DIST(A32,alpha,beta,0)</f>
        <v>0.00155040238846831</v>
      </c>
      <c r="H32" s="11" t="n">
        <f aca="false">G32*C32/2*365*24/1000000</f>
        <v>0.0271630498459647</v>
      </c>
    </row>
    <row r="33" customFormat="false" ht="12.8" hidden="false" customHeight="false" outlineLevel="0" collapsed="false">
      <c r="A33" s="11" t="n">
        <v>11</v>
      </c>
      <c r="B33" s="11" t="n">
        <f aca="false">A33*A33*A33*airdensity/2</f>
        <v>815.2375</v>
      </c>
      <c r="C33" s="11" t="n">
        <f aca="false">IF(A33&lt;vstart,0,IF(A33&gt;vrated,prated,A33*A33*A33*airdensity/2*Cpmax*sweptarea))</f>
        <v>4000</v>
      </c>
      <c r="D33" s="11" t="n">
        <f aca="false">C33/B33/sweptarea</f>
        <v>0.178419841401488</v>
      </c>
      <c r="E33" s="11" t="n">
        <f aca="false">_xlfn.WEIBULL.DIST(A33,alpha,beta,1)</f>
        <v>0.999370264284292</v>
      </c>
      <c r="F33" s="11" t="n">
        <f aca="false">B33*G33</f>
        <v>0.687954420837817</v>
      </c>
      <c r="G33" s="11" t="n">
        <f aca="false">_xlfn.WEIBULL.DIST(A33,alpha,beta,0)</f>
        <v>0.000843869940769183</v>
      </c>
      <c r="H33" s="11" t="n">
        <f aca="false">G33*C33/2*365*24/1000000</f>
        <v>0.0147846013622761</v>
      </c>
    </row>
    <row r="34" customFormat="false" ht="12.8" hidden="false" customHeight="false" outlineLevel="0" collapsed="false">
      <c r="A34" s="11" t="n">
        <v>11.5</v>
      </c>
      <c r="B34" s="11" t="n">
        <f aca="false">A34*A34*A34*airdensity/2</f>
        <v>931.5359375</v>
      </c>
      <c r="C34" s="11" t="n">
        <f aca="false">IF(A34&lt;vstart,0,IF(A34&gt;vrated,prated,A34*A34*A34*airdensity/2*Cpmax*sweptarea))</f>
        <v>4000</v>
      </c>
      <c r="D34" s="11" t="n">
        <f aca="false">C34/B34/sweptarea</f>
        <v>0.156144856681437</v>
      </c>
      <c r="E34" s="11" t="n">
        <f aca="false">_xlfn.WEIBULL.DIST(A34,alpha,beta,1)</f>
        <v>0.999682634722733</v>
      </c>
      <c r="F34" s="11" t="n">
        <f aca="false">B34*G34</f>
        <v>0.414172605923884</v>
      </c>
      <c r="G34" s="11" t="n">
        <f aca="false">_xlfn.WEIBULL.DIST(A34,alpha,beta,0)</f>
        <v>0.000444612590079365</v>
      </c>
      <c r="H34" s="11" t="n">
        <f aca="false">G34*C34/2*365*24/1000000</f>
        <v>0.00778961257819047</v>
      </c>
    </row>
    <row r="35" customFormat="false" ht="12.8" hidden="false" customHeight="false" outlineLevel="0" collapsed="false">
      <c r="A35" s="11" t="n">
        <v>12</v>
      </c>
      <c r="B35" s="11" t="n">
        <f aca="false">A35*A35*A35*airdensity/2</f>
        <v>1058.4</v>
      </c>
      <c r="C35" s="11" t="n">
        <f aca="false">IF(A35&lt;vstart,0,IF(A35&gt;vrated,prated,A35*A35*A35*airdensity/2*Cpmax*sweptarea))</f>
        <v>4000</v>
      </c>
      <c r="D35" s="11" t="n">
        <f aca="false">C35/B35/sweptarea</f>
        <v>0.13742870885728</v>
      </c>
      <c r="E35" s="11" t="n">
        <f aca="false">_xlfn.WEIBULL.DIST(A35,alpha,beta,1)</f>
        <v>0.999844856396474</v>
      </c>
      <c r="F35" s="11" t="n">
        <f aca="false">B35*G35</f>
        <v>0.240043228238867</v>
      </c>
      <c r="G35" s="11" t="n">
        <f aca="false">_xlfn.WEIBULL.DIST(A35,alpha,beta,0)</f>
        <v>0.000226798212621757</v>
      </c>
      <c r="H35" s="11" t="n">
        <f aca="false">G35*C35/2*365*24/1000000</f>
        <v>0.00397350468513318</v>
      </c>
    </row>
    <row r="36" customFormat="false" ht="12.8" hidden="false" customHeight="false" outlineLevel="0" collapsed="false">
      <c r="A36" s="11" t="n">
        <v>12.5</v>
      </c>
      <c r="B36" s="11" t="n">
        <f aca="false">A36*A36*A36*airdensity/2</f>
        <v>1196.2890625</v>
      </c>
      <c r="C36" s="11" t="n">
        <f aca="false">IF(A36&lt;vstart,0,IF(A36&gt;vrated,prated,A36*A36*A36*airdensity/2*Cpmax*sweptarea))</f>
        <v>4000</v>
      </c>
      <c r="D36" s="11" t="n">
        <f aca="false">C36/B36/sweptarea</f>
        <v>0.121588126159555</v>
      </c>
      <c r="E36" s="11" t="n">
        <f aca="false">_xlfn.WEIBULL.DIST(A36,alpha,beta,1)</f>
        <v>0.999926433224392</v>
      </c>
      <c r="F36" s="11" t="n">
        <f aca="false">B36*G36</f>
        <v>0.134014679967722</v>
      </c>
      <c r="G36" s="11" t="n">
        <f aca="false">_xlfn.WEIBULL.DIST(A36,alpha,beta,0)</f>
        <v>0.000112025332479141</v>
      </c>
      <c r="H36" s="11" t="n">
        <f aca="false">G36*C36/2*365*24/1000000</f>
        <v>0.00196268382503455</v>
      </c>
    </row>
    <row r="37" customFormat="false" ht="12.8" hidden="false" customHeight="false" outlineLevel="0" collapsed="false">
      <c r="A37" s="11" t="n">
        <v>13</v>
      </c>
      <c r="B37" s="11" t="n">
        <f aca="false">A37*A37*A37*airdensity/2</f>
        <v>1345.6625</v>
      </c>
      <c r="C37" s="11" t="n">
        <f aca="false">IF(A37&lt;vstart,0,IF(A37&gt;vrated,prated,A37*A37*A37*airdensity/2*Cpmax*sweptarea))</f>
        <v>4000</v>
      </c>
      <c r="D37" s="11" t="n">
        <f aca="false">C37/B37/sweptarea</f>
        <v>0.108091401413464</v>
      </c>
      <c r="E37" s="11" t="n">
        <f aca="false">_xlfn.WEIBULL.DIST(A37,alpha,beta,1)</f>
        <v>0.999966162135263</v>
      </c>
      <c r="F37" s="11" t="n">
        <f aca="false">B37*G37</f>
        <v>0.0721119034513251</v>
      </c>
      <c r="G37" s="11" t="n">
        <f aca="false">_xlfn.WEIBULL.DIST(A37,alpha,beta,0)</f>
        <v>5.35884023306922E-005</v>
      </c>
      <c r="H37" s="11" t="n">
        <f aca="false">G37*C37/2*365*24/1000000</f>
        <v>0.000938868808833728</v>
      </c>
    </row>
    <row r="38" customFormat="false" ht="12.8" hidden="false" customHeight="false" outlineLevel="0" collapsed="false">
      <c r="A38" s="11" t="n">
        <v>13.5</v>
      </c>
      <c r="B38" s="11" t="n">
        <f aca="false">A38*A38*A38*airdensity/2</f>
        <v>1506.9796875</v>
      </c>
      <c r="C38" s="11" t="n">
        <f aca="false">IF(A38&lt;vstart,0,IF(A38&gt;vrated,prated,A38*A38*A38*airdensity/2*Cpmax*sweptarea))</f>
        <v>4000</v>
      </c>
      <c r="D38" s="11" t="n">
        <f aca="false">C38/B38/sweptarea</f>
        <v>0.0965205746706824</v>
      </c>
      <c r="E38" s="11" t="n">
        <f aca="false">_xlfn.WEIBULL.DIST(A38,alpha,beta,1)</f>
        <v>0.999984902759966</v>
      </c>
      <c r="F38" s="11" t="n">
        <f aca="false">B38*G38</f>
        <v>0.0374165063365947</v>
      </c>
      <c r="G38" s="11" t="n">
        <f aca="false">_xlfn.WEIBULL.DIST(A38,alpha,beta,0)</f>
        <v>2.48288060197193E-005</v>
      </c>
      <c r="H38" s="11" t="n">
        <f aca="false">G38*C38/2*365*24/1000000</f>
        <v>0.000435000681465482</v>
      </c>
    </row>
    <row r="39" customFormat="false" ht="12.8" hidden="false" customHeight="false" outlineLevel="0" collapsed="false">
      <c r="A39" s="11" t="n">
        <v>14</v>
      </c>
      <c r="B39" s="11" t="n">
        <f aca="false">A39*A39*A39*airdensity/2</f>
        <v>1680.7</v>
      </c>
      <c r="C39" s="11" t="n">
        <f aca="false">IF(A39&lt;vstart,0,IF(A39&gt;vrated,prated,A39*A39*A39*airdensity/2*Cpmax*sweptarea))</f>
        <v>4000</v>
      </c>
      <c r="D39" s="11" t="n">
        <f aca="false">C39/B39/sweptarea</f>
        <v>0.0865440265690162</v>
      </c>
      <c r="E39" s="11" t="n">
        <f aca="false">_xlfn.WEIBULL.DIST(A39,alpha,beta,1)</f>
        <v>0.999993466204288</v>
      </c>
      <c r="F39" s="11" t="n">
        <f aca="false">B39*G39</f>
        <v>0.0187287285114153</v>
      </c>
      <c r="G39" s="11" t="n">
        <f aca="false">_xlfn.WEIBULL.DIST(A39,alpha,beta,0)</f>
        <v>1.11434095980337E-005</v>
      </c>
      <c r="H39" s="11" t="n">
        <f aca="false">G39*C39/2*365*24/1000000</f>
        <v>0.000195232536157551</v>
      </c>
    </row>
    <row r="40" customFormat="false" ht="12.8" hidden="false" customHeight="false" outlineLevel="0" collapsed="false">
      <c r="A40" s="11" t="n">
        <v>14.5</v>
      </c>
      <c r="B40" s="11" t="n">
        <f aca="false">A40*A40*A40*airdensity/2</f>
        <v>1867.2828125</v>
      </c>
      <c r="C40" s="11" t="n">
        <f aca="false">IF(A40&lt;vstart,0,IF(A40&gt;vrated,prated,A40*A40*A40*airdensity/2*Cpmax*sweptarea))</f>
        <v>4000</v>
      </c>
      <c r="D40" s="11" t="n">
        <f aca="false">C40/B40/sweptarea</f>
        <v>0.0778963660356326</v>
      </c>
      <c r="E40" s="11" t="n">
        <f aca="false">_xlfn.WEIBULL.DIST(A40,alpha,beta,1)</f>
        <v>0.999997257119263</v>
      </c>
      <c r="F40" s="11" t="n">
        <f aca="false">B40*G40</f>
        <v>0.00904710297379672</v>
      </c>
      <c r="G40" s="11" t="n">
        <f aca="false">_xlfn.WEIBULL.DIST(A40,alpha,beta,0)</f>
        <v>4.84506305806139E-006</v>
      </c>
      <c r="H40" s="11" t="n">
        <f aca="false">G40*C40/2*365*24/1000000</f>
        <v>8.48855047772355E-005</v>
      </c>
    </row>
    <row r="41" customFormat="false" ht="12.8" hidden="false" customHeight="false" outlineLevel="0" collapsed="false">
      <c r="A41" s="11" t="n">
        <v>15</v>
      </c>
      <c r="B41" s="11" t="n">
        <f aca="false">A41*A41*A41*airdensity/2</f>
        <v>2067.1875</v>
      </c>
      <c r="C41" s="11" t="n">
        <f aca="false">IF(A41&lt;vstart,0,IF(A41&gt;vrated,prated,A41*A41*A41*airdensity/2*Cpmax*sweptarea))</f>
        <v>4000</v>
      </c>
      <c r="D41" s="11" t="n">
        <f aca="false">C41/B41/sweptarea</f>
        <v>0.0703634989349275</v>
      </c>
      <c r="E41" s="11" t="n">
        <f aca="false">_xlfn.WEIBULL.DIST(A41,alpha,beta,1)</f>
        <v>0.999998883080999</v>
      </c>
      <c r="F41" s="11" t="n">
        <f aca="false">B41*G41</f>
        <v>0.00421907567635424</v>
      </c>
      <c r="G41" s="11" t="n">
        <f aca="false">_xlfn.WEIBULL.DIST(A41,alpha,beta,0)</f>
        <v>2.04097387215927E-006</v>
      </c>
      <c r="H41" s="11" t="n">
        <f aca="false">G41*C41/2*365*24/1000000</f>
        <v>3.57578622402304E-005</v>
      </c>
    </row>
    <row r="42" customFormat="false" ht="12.8" hidden="false" customHeight="false" outlineLevel="0" collapsed="false">
      <c r="A42" s="11" t="n">
        <v>15.5</v>
      </c>
      <c r="B42" s="11" t="n">
        <f aca="false">A42*A42*A42*airdensity/2</f>
        <v>2280.8734375</v>
      </c>
      <c r="C42" s="11" t="n">
        <f aca="false">IF(A42&lt;vstart,0,IF(A42&gt;vrated,prated,A42*A42*A42*airdensity/2*Cpmax*sweptarea))</f>
        <v>4000</v>
      </c>
      <c r="D42" s="11" t="n">
        <f aca="false">C42/B42/sweptarea</f>
        <v>0.0637714232903576</v>
      </c>
      <c r="E42" s="11" t="n">
        <f aca="false">_xlfn.WEIBULL.DIST(A42,alpha,beta,1)</f>
        <v>0.999999558826096</v>
      </c>
      <c r="F42" s="11" t="n">
        <f aca="false">B42*G42</f>
        <v>0.00190005952947379</v>
      </c>
      <c r="G42" s="11" t="n">
        <f aca="false">_xlfn.WEIBULL.DIST(A42,alpha,beta,0)</f>
        <v>8.3304031615029E-007</v>
      </c>
      <c r="H42" s="11" t="n">
        <f aca="false">G42*C42/2*365*24/1000000</f>
        <v>1.4594866338953E-005</v>
      </c>
    </row>
    <row r="43" customFormat="false" ht="12.8" hidden="false" customHeight="false" outlineLevel="0" collapsed="false">
      <c r="A43" s="11" t="n">
        <v>16</v>
      </c>
      <c r="B43" s="11" t="n">
        <f aca="false">A43*A43*A43*airdensity/2</f>
        <v>2508.8</v>
      </c>
      <c r="C43" s="11" t="n">
        <f aca="false">IF(A43&lt;vstart,0,IF(A43&gt;vrated,prated,A43*A43*A43*airdensity/2*Cpmax*sweptarea))</f>
        <v>4000</v>
      </c>
      <c r="D43" s="11" t="n">
        <f aca="false">C43/B43/sweptarea</f>
        <v>0.0579777365491651</v>
      </c>
      <c r="E43" s="11" t="n">
        <f aca="false">_xlfn.WEIBULL.DIST(A43,alpha,beta,1)</f>
        <v>0.999999830967065</v>
      </c>
      <c r="F43" s="11" t="n">
        <f aca="false">B43*G43</f>
        <v>0.000826574233835334</v>
      </c>
      <c r="G43" s="11" t="n">
        <f aca="false">_xlfn.WEIBULL.DIST(A43,alpha,beta,0)</f>
        <v>3.2946995927748E-007</v>
      </c>
      <c r="H43" s="11" t="n">
        <f aca="false">G43*C43/2*365*24/1000000</f>
        <v>5.77231368654139E-006</v>
      </c>
    </row>
    <row r="46" customFormat="false" ht="35.05" hidden="false" customHeight="false" outlineLevel="0" collapsed="false">
      <c r="F46" s="10" t="s">
        <v>41</v>
      </c>
      <c r="G46" s="10" t="s">
        <v>42</v>
      </c>
      <c r="H46" s="10" t="s">
        <v>43</v>
      </c>
    </row>
    <row r="47" customFormat="false" ht="12.8" hidden="false" customHeight="false" outlineLevel="0" collapsed="false">
      <c r="F47" s="11" t="n">
        <f aca="false">SUM(F11:F43)/2</f>
        <v>54.1624390027214</v>
      </c>
      <c r="G47" s="11" t="n">
        <f aca="false">SUM(G12:G43)/2</f>
        <v>0.997458070534598</v>
      </c>
      <c r="H47" s="11" t="n">
        <f aca="false">SUM(H12:H43)</f>
        <v>5.0244885439202</v>
      </c>
    </row>
    <row r="48" customFormat="false" ht="12.8" hidden="false" customHeight="false" outlineLevel="0" collapsed="false">
      <c r="A48" s="0" t="s">
        <v>44</v>
      </c>
      <c r="H48" s="0" t="s">
        <v>45</v>
      </c>
    </row>
    <row r="49" customFormat="false" ht="12.8" hidden="false" customHeight="false" outlineLevel="0" collapsed="false">
      <c r="H49" s="11" t="n">
        <f aca="false">H47*1000000/(365*24)/prated</f>
        <v>0.143392937897266</v>
      </c>
    </row>
    <row r="50" customFormat="false" ht="12.8" hidden="false" customHeight="false" outlineLevel="0" collapsed="false">
      <c r="F50" s="0" t="s">
        <v>46</v>
      </c>
      <c r="I50" s="0" t="s">
        <v>47</v>
      </c>
    </row>
    <row r="51" customFormat="false" ht="12.8" hidden="false" customHeight="false" outlineLevel="0" collapsed="false">
      <c r="A51" s="0" t="s">
        <v>48</v>
      </c>
      <c r="B51" s="0" t="s">
        <v>49</v>
      </c>
      <c r="C51" s="0" t="s">
        <v>50</v>
      </c>
      <c r="D51" s="0" t="s">
        <v>51</v>
      </c>
      <c r="E51" s="0" t="s">
        <v>52</v>
      </c>
      <c r="F51" s="0" t="s">
        <v>53</v>
      </c>
      <c r="G51" s="0" t="s">
        <v>54</v>
      </c>
      <c r="H51" s="0" t="s">
        <v>55</v>
      </c>
      <c r="I51" s="0" t="s">
        <v>56</v>
      </c>
      <c r="J51" s="0" t="s">
        <v>57</v>
      </c>
    </row>
    <row r="52" customFormat="false" ht="12.8" hidden="false" customHeight="false" outlineLevel="0" collapsed="false">
      <c r="A52" s="0" t="s">
        <v>58</v>
      </c>
      <c r="B52" s="0" t="n">
        <v>1</v>
      </c>
      <c r="C52" s="0" t="n">
        <v>0.95</v>
      </c>
      <c r="D52" s="0" t="n">
        <f aca="false">C52*vmean</f>
        <v>3.211</v>
      </c>
      <c r="E52" s="12" t="n">
        <f aca="false">C52*C52*C52/12</f>
        <v>0.0714479166666667</v>
      </c>
      <c r="F52" s="12" t="n">
        <f aca="false">annualwindkwh*E52</f>
        <v>358.989238778632</v>
      </c>
      <c r="G52" s="12" t="n">
        <v>65.63</v>
      </c>
      <c r="H52" s="12" t="n">
        <f aca="false">G52/annualsolarkwh90</f>
        <v>0.0109684600369014</v>
      </c>
      <c r="I52" s="12" t="n">
        <f aca="false">annualsolarkwh*H52</f>
        <v>59.8877918014814</v>
      </c>
      <c r="J52" s="0" t="n">
        <f aca="false">F52+I52</f>
        <v>418.877030580113</v>
      </c>
    </row>
    <row r="53" customFormat="false" ht="12.8" hidden="false" customHeight="false" outlineLevel="0" collapsed="false">
      <c r="A53" s="0" t="s">
        <v>59</v>
      </c>
      <c r="B53" s="0" t="n">
        <v>2</v>
      </c>
      <c r="C53" s="0" t="n">
        <v>0.97</v>
      </c>
      <c r="D53" s="0" t="n">
        <f aca="false">C53*vmean</f>
        <v>3.2786</v>
      </c>
      <c r="E53" s="12" t="n">
        <f aca="false">C53*C53*C53/12</f>
        <v>0.0760560833333333</v>
      </c>
      <c r="F53" s="12" t="n">
        <f aca="false">annualwindkwh*E53</f>
        <v>382.142919403773</v>
      </c>
      <c r="G53" s="12" t="n">
        <v>235.35</v>
      </c>
      <c r="H53" s="12" t="n">
        <f aca="false">G53/annualsolarkwh90</f>
        <v>0.0393330347354066</v>
      </c>
      <c r="I53" s="12" t="n">
        <f aca="false">annualsolarkwh*H53</f>
        <v>214.75836965532</v>
      </c>
      <c r="J53" s="0" t="n">
        <f aca="false">F53+I53</f>
        <v>596.901289059093</v>
      </c>
    </row>
    <row r="54" customFormat="false" ht="12.8" hidden="false" customHeight="false" outlineLevel="0" collapsed="false">
      <c r="A54" s="0" t="s">
        <v>60</v>
      </c>
      <c r="B54" s="0" t="n">
        <v>3</v>
      </c>
      <c r="C54" s="0" t="n">
        <v>1.08</v>
      </c>
      <c r="D54" s="0" t="n">
        <f aca="false">C54*vmean</f>
        <v>3.6504</v>
      </c>
      <c r="E54" s="12" t="n">
        <f aca="false">C54*C54*C54/12</f>
        <v>0.104976</v>
      </c>
      <c r="F54" s="12" t="n">
        <f aca="false">annualwindkwh*E54</f>
        <v>527.450709386567</v>
      </c>
      <c r="G54" s="12" t="n">
        <v>643.29</v>
      </c>
      <c r="H54" s="12" t="n">
        <f aca="false">G54/annualsolarkwh90</f>
        <v>0.107510294943445</v>
      </c>
      <c r="I54" s="12" t="n">
        <f aca="false">annualsolarkwh*H54</f>
        <v>587.006210391208</v>
      </c>
      <c r="J54" s="0" t="n">
        <f aca="false">F54+I54</f>
        <v>1114.45691977778</v>
      </c>
    </row>
    <row r="55" customFormat="false" ht="12.8" hidden="false" customHeight="false" outlineLevel="0" collapsed="false">
      <c r="A55" s="0" t="s">
        <v>61</v>
      </c>
      <c r="B55" s="0" t="n">
        <v>4</v>
      </c>
      <c r="C55" s="0" t="n">
        <v>1.01</v>
      </c>
      <c r="D55" s="0" t="n">
        <f aca="false">C55*vmean</f>
        <v>3.4138</v>
      </c>
      <c r="E55" s="12" t="n">
        <f aca="false">C55*C55*C55/12</f>
        <v>0.0858584166666667</v>
      </c>
      <c r="F55" s="12" t="n">
        <f aca="false">annualwindkwh*E55</f>
        <v>431.394630940794</v>
      </c>
      <c r="G55" s="12" t="n">
        <v>839.83</v>
      </c>
      <c r="H55" s="12" t="n">
        <f aca="false">G55/annualsolarkwh90</f>
        <v>0.140357181057304</v>
      </c>
      <c r="I55" s="12" t="n">
        <f aca="false">annualsolarkwh*H55</f>
        <v>766.35020857288</v>
      </c>
      <c r="J55" s="0" t="n">
        <f aca="false">F55+I55</f>
        <v>1197.74483951367</v>
      </c>
    </row>
    <row r="56" customFormat="false" ht="12.8" hidden="false" customHeight="false" outlineLevel="0" collapsed="false">
      <c r="A56" s="0" t="s">
        <v>62</v>
      </c>
      <c r="B56" s="0" t="n">
        <v>5</v>
      </c>
      <c r="C56" s="0" t="n">
        <v>0.97</v>
      </c>
      <c r="D56" s="0" t="n">
        <f aca="false">C56*vmean</f>
        <v>3.2786</v>
      </c>
      <c r="E56" s="12" t="n">
        <f aca="false">C56*C56*C56/12</f>
        <v>0.0760560833333333</v>
      </c>
      <c r="F56" s="12" t="n">
        <f aca="false">annualwindkwh*E56</f>
        <v>382.142919403774</v>
      </c>
      <c r="G56" s="12" t="n">
        <v>946.03</v>
      </c>
      <c r="H56" s="12" t="n">
        <f aca="false">G56/annualsolarkwh90</f>
        <v>0.158105930957029</v>
      </c>
      <c r="I56" s="12" t="n">
        <f aca="false">annualsolarkwh*H56</f>
        <v>863.258383025377</v>
      </c>
      <c r="J56" s="0" t="n">
        <f aca="false">F56+I56</f>
        <v>1245.40130242915</v>
      </c>
    </row>
    <row r="57" customFormat="false" ht="12.8" hidden="false" customHeight="false" outlineLevel="0" collapsed="false">
      <c r="A57" s="0" t="s">
        <v>63</v>
      </c>
      <c r="B57" s="0" t="n">
        <v>6</v>
      </c>
      <c r="C57" s="0" t="n">
        <v>0.86</v>
      </c>
      <c r="D57" s="0" t="n">
        <f aca="false">C57*vmean</f>
        <v>2.9068</v>
      </c>
      <c r="E57" s="12" t="n">
        <f aca="false">C57*C57*C57/12</f>
        <v>0.0530046666666667</v>
      </c>
      <c r="F57" s="12" t="n">
        <f aca="false">annualwindkwh*E57</f>
        <v>266.321340440976</v>
      </c>
      <c r="G57" s="12" t="n">
        <v>898.23</v>
      </c>
      <c r="H57" s="12" t="n">
        <f aca="false">G57/annualsolarkwh90</f>
        <v>0.1501173222451</v>
      </c>
      <c r="I57" s="12" t="n">
        <f aca="false">annualsolarkwh*H57</f>
        <v>819.640579458245</v>
      </c>
      <c r="J57" s="0" t="n">
        <f aca="false">F57+I57</f>
        <v>1085.96191989922</v>
      </c>
    </row>
    <row r="58" customFormat="false" ht="12.8" hidden="false" customHeight="false" outlineLevel="0" collapsed="false">
      <c r="A58" s="0" t="s">
        <v>64</v>
      </c>
      <c r="B58" s="0" t="n">
        <v>7</v>
      </c>
      <c r="C58" s="0" t="n">
        <v>0.83</v>
      </c>
      <c r="D58" s="0" t="n">
        <f aca="false">C58*vmean</f>
        <v>2.8054</v>
      </c>
      <c r="E58" s="12" t="n">
        <f aca="false">C58*C58*C58/12</f>
        <v>0.0476489166666667</v>
      </c>
      <c r="F58" s="12" t="n">
        <f aca="false">annualwindkwh*E58</f>
        <v>239.411435921875</v>
      </c>
      <c r="G58" s="12" t="n">
        <v>870.6</v>
      </c>
      <c r="H58" s="12" t="n">
        <f aca="false">G58/annualsolarkwh90</f>
        <v>0.145499639008477</v>
      </c>
      <c r="I58" s="12" t="n">
        <f aca="false">annualsolarkwh*H58</f>
        <v>794.428028986282</v>
      </c>
      <c r="J58" s="0" t="n">
        <f aca="false">F58+I58</f>
        <v>1033.83946490816</v>
      </c>
    </row>
    <row r="59" customFormat="false" ht="12.8" hidden="false" customHeight="false" outlineLevel="0" collapsed="false">
      <c r="A59" s="0" t="s">
        <v>65</v>
      </c>
      <c r="B59" s="0" t="n">
        <v>8</v>
      </c>
      <c r="C59" s="0" t="n">
        <v>0.86</v>
      </c>
      <c r="D59" s="0" t="n">
        <f aca="false">C59*vmean</f>
        <v>2.9068</v>
      </c>
      <c r="E59" s="12" t="n">
        <f aca="false">C59*C59*C59/12</f>
        <v>0.0530046666666667</v>
      </c>
      <c r="F59" s="12" t="n">
        <f aca="false">annualwindkwh*E59</f>
        <v>266.321340440976</v>
      </c>
      <c r="G59" s="12" t="n">
        <v>735.89</v>
      </c>
      <c r="H59" s="12" t="n">
        <f aca="false">G59/annualsolarkwh90</f>
        <v>0.122986135251491</v>
      </c>
      <c r="I59" s="12" t="n">
        <f aca="false">annualsolarkwh*H59</f>
        <v>671.50429847314</v>
      </c>
      <c r="J59" s="0" t="n">
        <f aca="false">F59+I59</f>
        <v>937.825638914116</v>
      </c>
    </row>
    <row r="60" customFormat="false" ht="12.8" hidden="false" customHeight="false" outlineLevel="0" collapsed="false">
      <c r="A60" s="0" t="s">
        <v>66</v>
      </c>
      <c r="B60" s="0" t="n">
        <v>9</v>
      </c>
      <c r="C60" s="0" t="n">
        <v>1</v>
      </c>
      <c r="D60" s="0" t="n">
        <f aca="false">C60*vmean</f>
        <v>3.38</v>
      </c>
      <c r="E60" s="12" t="n">
        <f aca="false">C60*C60*C60/12</f>
        <v>0.0833333333333333</v>
      </c>
      <c r="F60" s="12" t="n">
        <f aca="false">annualwindkwh*E60</f>
        <v>418.707378660017</v>
      </c>
      <c r="G60" s="12" t="n">
        <v>444.96</v>
      </c>
      <c r="H60" s="12" t="n">
        <f aca="false">G60/annualsolarkwh90</f>
        <v>0.0743642538171511</v>
      </c>
      <c r="I60" s="12" t="n">
        <f aca="false">annualsolarkwh*H60</f>
        <v>406.028825841645</v>
      </c>
      <c r="J60" s="0" t="n">
        <f aca="false">F60+I60</f>
        <v>824.736204501662</v>
      </c>
    </row>
    <row r="61" customFormat="false" ht="12.8" hidden="false" customHeight="false" outlineLevel="0" collapsed="false">
      <c r="A61" s="0" t="s">
        <v>67</v>
      </c>
      <c r="B61" s="0" t="n">
        <v>10</v>
      </c>
      <c r="C61" s="0" t="n">
        <v>1.08</v>
      </c>
      <c r="D61" s="0" t="n">
        <f aca="false">C61*vmean</f>
        <v>3.6504</v>
      </c>
      <c r="E61" s="12" t="n">
        <f aca="false">C61*C61*C61/12</f>
        <v>0.104976</v>
      </c>
      <c r="F61" s="12" t="n">
        <f aca="false">annualwindkwh*E61</f>
        <v>527.450709386567</v>
      </c>
      <c r="G61" s="12" t="n">
        <v>225.97</v>
      </c>
      <c r="H61" s="12" t="n">
        <f aca="false">G61/annualsolarkwh90</f>
        <v>0.0377653956199695</v>
      </c>
      <c r="I61" s="12" t="n">
        <f aca="false">annualsolarkwh*H61</f>
        <v>206.199060085034</v>
      </c>
      <c r="J61" s="0" t="n">
        <f aca="false">F61+I61</f>
        <v>733.649769471601</v>
      </c>
    </row>
    <row r="62" customFormat="false" ht="12.8" hidden="false" customHeight="false" outlineLevel="0" collapsed="false">
      <c r="A62" s="0" t="s">
        <v>68</v>
      </c>
      <c r="B62" s="0" t="n">
        <v>11</v>
      </c>
      <c r="C62" s="0" t="n">
        <v>1.21</v>
      </c>
      <c r="D62" s="0" t="n">
        <f aca="false">C62*vmean</f>
        <v>4.0898</v>
      </c>
      <c r="E62" s="12" t="n">
        <f aca="false">C62*C62*C62/12</f>
        <v>0.147630083333333</v>
      </c>
      <c r="F62" s="12" t="n">
        <f aca="false">annualwindkwh*E62</f>
        <v>741.765662446318</v>
      </c>
      <c r="G62" s="12" t="n">
        <v>58.11</v>
      </c>
      <c r="H62" s="12" t="n">
        <f aca="false">G62/annualsolarkwh90</f>
        <v>0.00971167473326738</v>
      </c>
      <c r="I62" s="12" t="n">
        <f aca="false">annualsolarkwh*H62</f>
        <v>53.0257440436399</v>
      </c>
      <c r="J62" s="0" t="n">
        <f aca="false">F62+I62</f>
        <v>794.791406489958</v>
      </c>
    </row>
    <row r="63" customFormat="false" ht="12.8" hidden="false" customHeight="false" outlineLevel="0" collapsed="false">
      <c r="A63" s="0" t="s">
        <v>69</v>
      </c>
      <c r="B63" s="0" t="n">
        <v>12</v>
      </c>
      <c r="C63" s="0" t="n">
        <v>1.16</v>
      </c>
      <c r="D63" s="0" t="n">
        <f aca="false">C63*vmean</f>
        <v>3.9208</v>
      </c>
      <c r="E63" s="12" t="n">
        <f aca="false">C63*C63*C63/12</f>
        <v>0.130074666666667</v>
      </c>
      <c r="F63" s="12" t="n">
        <f aca="false">annualwindkwh*E63</f>
        <v>653.558672520906</v>
      </c>
      <c r="G63" s="12" t="n">
        <v>19.63</v>
      </c>
      <c r="H63" s="12" t="n">
        <f aca="false">G63/annualsolarkwh90</f>
        <v>0.00328067759445945</v>
      </c>
      <c r="I63" s="12" t="n">
        <f aca="false">annualsolarkwh*H63</f>
        <v>17.9124996657486</v>
      </c>
      <c r="J63" s="0" t="n">
        <f aca="false">F63+I63</f>
        <v>671.471172186655</v>
      </c>
    </row>
    <row r="64" customFormat="false" ht="12.8" hidden="false" customHeight="false" outlineLevel="0" collapsed="false">
      <c r="E64" s="12" t="n">
        <f aca="false">SUM(E52:E63)</f>
        <v>1.03406683333333</v>
      </c>
      <c r="F64" s="12" t="n">
        <f aca="false">SUM(F52:F63)</f>
        <v>5195.65695773118</v>
      </c>
      <c r="G64" s="12" t="n">
        <f aca="false">SUM(G52:G63)</f>
        <v>5983.52</v>
      </c>
      <c r="H64" s="12" t="n">
        <f aca="false">SUM(H52:H63)</f>
        <v>1</v>
      </c>
      <c r="I64" s="12" t="n">
        <f aca="false">SUM(I52:I63)</f>
        <v>5460</v>
      </c>
      <c r="J64" s="0" t="n">
        <f aca="false">SUM(J52:J63)</f>
        <v>10655.6569577312</v>
      </c>
    </row>
    <row r="66" customFormat="false" ht="12.8" hidden="false" customHeight="false" outlineLevel="0" collapsed="false">
      <c r="G66" s="0" t="s">
        <v>70</v>
      </c>
    </row>
    <row r="67" customFormat="false" ht="12.8" hidden="false" customHeight="false" outlineLevel="0" collapsed="false">
      <c r="G67" s="13" t="n">
        <f aca="false">G64/C5</f>
        <v>854.788571428571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31" colorId="64" zoomScale="100" zoomScaleNormal="100" zoomScalePageLayoutView="100" workbookViewId="0">
      <selection pane="topLeft" activeCell="L42" activeCellId="0" sqref="L42"/>
    </sheetView>
  </sheetViews>
  <sheetFormatPr defaultColWidth="11.53515625" defaultRowHeight="12.8" zeroHeight="false" outlineLevelRow="0" outlineLevelCol="0"/>
  <sheetData/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Application>LibreOffice/7.3.7.2$Linux_X86_64 LibreOffice_project/30$Build-2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2022-08-27T17:57:30Z</dcterms:created>
  <dc:creator>Christopher Turner</dc:creator>
  <dc:description/>
  <dc:language>en-GB</dc:language>
  <cp:lastModifiedBy>Christopher Turner</cp:lastModifiedBy>
  <dcterms:modified xsi:type="dcterms:W3CDTF">2023-06-26T17:33:28Z</dcterms:modified>
  <cp:revision>30</cp:revision>
  <dc:subject/>
  <dc:title/>
</cp:coreProperties>
</file>